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Meu Drive\Exercício 2025\1_Licitações Modalidades\CONCORRÊNCIA ELETRÔNICA\REFORMA PREDIO ASSIST. SOCIAL\"/>
    </mc:Choice>
  </mc:AlternateContent>
  <bookViews>
    <workbookView xWindow="0" yWindow="0" windowWidth="20490" windowHeight="6930" activeTab="1"/>
  </bookViews>
  <sheets>
    <sheet name="Orçamento" sheetId="1" r:id="rId1"/>
    <sheet name="Cronograma" sheetId="3" r:id="rId2"/>
    <sheet name="CRONOGRAMA SGRI-SP" sheetId="10" state="hidden" r:id="rId3"/>
    <sheet name="Orçamentos" sheetId="4" state="hidden" r:id="rId4"/>
    <sheet name="ELÉTRICA" sheetId="8" state="hidden" r:id="rId5"/>
  </sheets>
  <definedNames>
    <definedName name="_xlnm._FilterDatabase" localSheetId="3" hidden="1">Orçamentos!$B$7:$F$7</definedName>
    <definedName name="_xlnm.Print_Area" localSheetId="1">Cronograma!$A$1:$J$26</definedName>
    <definedName name="_xlnm.Print_Area" localSheetId="2">'CRONOGRAMA SGRI-SP'!$A$1:$J$46</definedName>
    <definedName name="_xlnm.Print_Area" localSheetId="0">Orçamento!$A$1:$I$58</definedName>
    <definedName name="Area_de_impressao_Composicoes" localSheetId="3">Orçamentos!$B$1:$F$34</definedName>
    <definedName name="Area_de_impressao_CronoFF" localSheetId="1">Cronograma!#REF!</definedName>
    <definedName name="Area_de_impressao_Medicao" localSheetId="0">Orçamento!$A$1:$I$74</definedName>
    <definedName name="Area_de_impressao_Orcamento" localSheetId="0">Orçamento!$A$1:$I$74</definedName>
    <definedName name="BDI.Opcao">#REF!</definedName>
    <definedName name="Print_Titles" localSheetId="0">Orçamento!$9:$9</definedName>
    <definedName name="_xlnm.Print_Titles" localSheetId="0">Orçamento!$7:$9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3" l="1"/>
  <c r="J16" i="3"/>
  <c r="J18" i="3"/>
  <c r="J20" i="3"/>
  <c r="J12" i="3"/>
  <c r="B14" i="3"/>
  <c r="B16" i="3"/>
  <c r="B18" i="3"/>
  <c r="B20" i="3"/>
  <c r="J30" i="10" l="1"/>
  <c r="B30" i="10"/>
  <c r="J28" i="10"/>
  <c r="B28" i="10"/>
  <c r="B22" i="10"/>
  <c r="B24" i="10"/>
  <c r="B26" i="10"/>
  <c r="B20" i="10"/>
  <c r="B13" i="10"/>
  <c r="J26" i="10"/>
  <c r="J24" i="10"/>
  <c r="J22" i="10"/>
  <c r="J20" i="10"/>
  <c r="C8" i="3"/>
  <c r="C7" i="3"/>
  <c r="F7" i="4"/>
  <c r="H27" i="8"/>
  <c r="F27" i="8"/>
  <c r="E27" i="8"/>
  <c r="H26" i="8"/>
  <c r="F26" i="8"/>
  <c r="E26" i="8"/>
  <c r="H25" i="8"/>
  <c r="G25" i="8"/>
  <c r="F25" i="8"/>
  <c r="E25" i="8"/>
  <c r="H24" i="8"/>
  <c r="G24" i="8"/>
  <c r="F24" i="8"/>
  <c r="E24" i="8"/>
  <c r="H23" i="8"/>
  <c r="F23" i="8"/>
  <c r="E23" i="8"/>
  <c r="H22" i="8"/>
  <c r="F22" i="8"/>
  <c r="E22" i="8"/>
  <c r="H20" i="8"/>
  <c r="G20" i="8"/>
  <c r="F20" i="8"/>
  <c r="E20" i="8"/>
  <c r="H18" i="8"/>
  <c r="G18" i="8"/>
  <c r="G27" i="8" s="1"/>
  <c r="G26" i="8" s="1"/>
  <c r="F18" i="8"/>
  <c r="E18" i="8"/>
  <c r="H17" i="8"/>
  <c r="F17" i="8"/>
  <c r="E17" i="8"/>
  <c r="H15" i="8"/>
  <c r="F15" i="8"/>
  <c r="E15" i="8"/>
  <c r="H14" i="8"/>
  <c r="G14" i="8"/>
  <c r="F14" i="8"/>
  <c r="E14" i="8"/>
  <c r="H13" i="8"/>
  <c r="F13" i="8"/>
  <c r="E13" i="8"/>
  <c r="H12" i="8"/>
  <c r="F12" i="8"/>
  <c r="E12" i="8"/>
  <c r="H10" i="8"/>
  <c r="F10" i="8"/>
  <c r="E10" i="8"/>
  <c r="H9" i="8"/>
  <c r="F9" i="8"/>
  <c r="E9" i="8"/>
  <c r="H8" i="8"/>
  <c r="F8" i="8"/>
  <c r="E8" i="8"/>
  <c r="H7" i="8"/>
  <c r="F7" i="8"/>
  <c r="E7" i="8"/>
  <c r="H6" i="8"/>
  <c r="F6" i="8"/>
  <c r="F35" i="4"/>
  <c r="F28" i="4"/>
  <c r="F21" i="4"/>
  <c r="F14" i="4"/>
  <c r="C3" i="4"/>
  <c r="C2" i="4"/>
  <c r="A12" i="3"/>
  <c r="B12" i="3" s="1"/>
  <c r="G17" i="8" l="1"/>
  <c r="H54" i="1" l="1"/>
  <c r="I54" i="1" s="1"/>
  <c r="H38" i="1"/>
  <c r="I38" i="1" s="1"/>
  <c r="H52" i="1"/>
  <c r="I52" i="1" s="1"/>
  <c r="H53" i="1"/>
  <c r="I53" i="1" s="1"/>
  <c r="H56" i="1"/>
  <c r="I56" i="1" s="1"/>
  <c r="H57" i="1"/>
  <c r="I57" i="1" s="1"/>
  <c r="H35" i="1"/>
  <c r="I35" i="1" s="1"/>
  <c r="H51" i="1"/>
  <c r="I51" i="1" s="1"/>
  <c r="H50" i="1"/>
  <c r="I50" i="1" s="1"/>
  <c r="H49" i="1"/>
  <c r="I49" i="1" s="1"/>
  <c r="H48" i="1"/>
  <c r="I48" i="1" s="1"/>
  <c r="H55" i="1"/>
  <c r="I55" i="1" s="1"/>
  <c r="H46" i="1"/>
  <c r="I46" i="1" s="1"/>
  <c r="I45" i="1" s="1"/>
  <c r="H42" i="1"/>
  <c r="I42" i="1" s="1"/>
  <c r="I41" i="1" s="1"/>
  <c r="H40" i="1"/>
  <c r="I40" i="1" s="1"/>
  <c r="I39" i="1" s="1"/>
  <c r="H37" i="1"/>
  <c r="I37" i="1" s="1"/>
  <c r="H36" i="1"/>
  <c r="I36" i="1" s="1"/>
  <c r="H44" i="1"/>
  <c r="I44" i="1" s="1"/>
  <c r="I43" i="1" s="1"/>
  <c r="H29" i="1"/>
  <c r="I29" i="1" s="1"/>
  <c r="H30" i="1"/>
  <c r="I30" i="1" s="1"/>
  <c r="H32" i="1"/>
  <c r="I32" i="1" s="1"/>
  <c r="H28" i="1"/>
  <c r="I28" i="1" s="1"/>
  <c r="H31" i="1"/>
  <c r="I31" i="1" s="1"/>
  <c r="H26" i="1"/>
  <c r="I26" i="1" s="1"/>
  <c r="H25" i="1"/>
  <c r="I25" i="1" s="1"/>
  <c r="H27" i="1"/>
  <c r="I27" i="1" s="1"/>
  <c r="H22" i="1"/>
  <c r="I22" i="1" s="1"/>
  <c r="H23" i="1"/>
  <c r="I23" i="1" s="1"/>
  <c r="H21" i="1"/>
  <c r="I21" i="1" s="1"/>
  <c r="H16" i="1"/>
  <c r="I16" i="1" s="1"/>
  <c r="H14" i="1"/>
  <c r="I14" i="1" s="1"/>
  <c r="H15" i="1"/>
  <c r="I15" i="1" s="1"/>
  <c r="H17" i="1"/>
  <c r="I17" i="1" s="1"/>
  <c r="H12" i="1"/>
  <c r="I12" i="1" s="1"/>
  <c r="H13" i="1"/>
  <c r="I13" i="1" s="1"/>
  <c r="I8" i="8"/>
  <c r="J8" i="8" s="1"/>
  <c r="I13" i="8"/>
  <c r="J13" i="8" s="1"/>
  <c r="I15" i="8"/>
  <c r="J15" i="8" s="1"/>
  <c r="I18" i="8"/>
  <c r="J18" i="8" s="1"/>
  <c r="I26" i="8"/>
  <c r="J26" i="8" s="1"/>
  <c r="H19" i="1"/>
  <c r="I19" i="1" s="1"/>
  <c r="I20" i="8"/>
  <c r="J20" i="8" s="1"/>
  <c r="I7" i="8"/>
  <c r="J7" i="8" s="1"/>
  <c r="I10" i="8"/>
  <c r="J10" i="8" s="1"/>
  <c r="I19" i="8"/>
  <c r="J19" i="8" s="1"/>
  <c r="I23" i="8"/>
  <c r="J23" i="8" s="1"/>
  <c r="I25" i="8"/>
  <c r="J25" i="8" s="1"/>
  <c r="I5" i="8"/>
  <c r="J5" i="8" s="1"/>
  <c r="I24" i="8"/>
  <c r="J24" i="8" s="1"/>
  <c r="I12" i="8"/>
  <c r="J12" i="8" s="1"/>
  <c r="I22" i="8"/>
  <c r="J22" i="8" s="1"/>
  <c r="I27" i="8"/>
  <c r="J27" i="8" s="1"/>
  <c r="I6" i="8"/>
  <c r="J6" i="8" s="1"/>
  <c r="I17" i="8"/>
  <c r="J17" i="8" s="1"/>
  <c r="H20" i="1"/>
  <c r="I20" i="1" s="1"/>
  <c r="I9" i="8"/>
  <c r="J9" i="8" s="1"/>
  <c r="I14" i="8"/>
  <c r="J14" i="8" s="1"/>
  <c r="I24" i="1" l="1"/>
  <c r="I16" i="3" s="1"/>
  <c r="I34" i="1"/>
  <c r="I33" i="1" s="1"/>
  <c r="I18" i="3" s="1"/>
  <c r="I11" i="1"/>
  <c r="I12" i="3" s="1"/>
  <c r="I18" i="1"/>
  <c r="I14" i="3" s="1"/>
  <c r="I47" i="1"/>
  <c r="I20" i="3" s="1"/>
  <c r="J16" i="8"/>
  <c r="J21" i="8"/>
  <c r="J4" i="8"/>
  <c r="J11" i="8"/>
  <c r="I10" i="1" l="1"/>
  <c r="I58" i="1" s="1"/>
  <c r="J3" i="8"/>
  <c r="D31" i="10" l="1"/>
  <c r="D29" i="10"/>
  <c r="D27" i="10"/>
  <c r="E20" i="3"/>
  <c r="C20" i="3"/>
  <c r="G20" i="3"/>
  <c r="G18" i="3"/>
  <c r="C18" i="3"/>
  <c r="E18" i="3"/>
  <c r="D25" i="10" l="1"/>
  <c r="D23" i="10"/>
  <c r="J31" i="10"/>
  <c r="J29" i="10"/>
  <c r="J27" i="10"/>
  <c r="G16" i="3"/>
  <c r="E16" i="3"/>
  <c r="C16" i="3"/>
  <c r="E14" i="3"/>
  <c r="G14" i="3"/>
  <c r="C14" i="3"/>
  <c r="H35" i="10" l="1"/>
  <c r="F35" i="10"/>
  <c r="J25" i="10"/>
  <c r="J23" i="10"/>
  <c r="E12" i="3"/>
  <c r="E23" i="3" s="1"/>
  <c r="D21" i="10"/>
  <c r="D35" i="10" s="1"/>
  <c r="G12" i="3"/>
  <c r="G23" i="3" s="1"/>
  <c r="I23" i="3"/>
  <c r="J23" i="3" s="1"/>
  <c r="C12" i="3"/>
  <c r="C23" i="3" s="1"/>
  <c r="F23" i="3" l="1"/>
  <c r="J21" i="10"/>
  <c r="H23" i="3"/>
  <c r="D23" i="3"/>
  <c r="J35" i="10"/>
  <c r="M33" i="10" l="1"/>
  <c r="L34" i="10"/>
  <c r="M34" i="10" s="1"/>
  <c r="F33" i="10" l="1"/>
  <c r="F34" i="10" s="1"/>
  <c r="H33" i="10"/>
  <c r="H34" i="10" s="1"/>
  <c r="D33" i="10"/>
  <c r="D34" i="10" s="1"/>
  <c r="J34" i="10" s="1"/>
</calcChain>
</file>

<file path=xl/sharedStrings.xml><?xml version="1.0" encoding="utf-8"?>
<sst xmlns="http://schemas.openxmlformats.org/spreadsheetml/2006/main" count="442" uniqueCount="270">
  <si>
    <t>Item</t>
  </si>
  <si>
    <t>Fonte</t>
  </si>
  <si>
    <t>Código</t>
  </si>
  <si>
    <t>Serviço</t>
  </si>
  <si>
    <t>Valor Unit.</t>
  </si>
  <si>
    <t>Valor Total</t>
  </si>
  <si>
    <t>BDI:</t>
  </si>
  <si>
    <t>Data Base:</t>
  </si>
  <si>
    <t>1.1</t>
  </si>
  <si>
    <t>2.1</t>
  </si>
  <si>
    <t>TOTAL</t>
  </si>
  <si>
    <t xml:space="preserve">OBJETO:  </t>
  </si>
  <si>
    <t xml:space="preserve">LOCAL: </t>
  </si>
  <si>
    <t>1.1.1</t>
  </si>
  <si>
    <t>1.1.2</t>
  </si>
  <si>
    <t>ITEM</t>
  </si>
  <si>
    <t>Unid.</t>
  </si>
  <si>
    <t>Quant.</t>
  </si>
  <si>
    <t>Total Geral</t>
  </si>
  <si>
    <t>Leis Sociais</t>
  </si>
  <si>
    <t>Unit. c/ BDI</t>
  </si>
  <si>
    <t>2.2</t>
  </si>
  <si>
    <t>1.1.3</t>
  </si>
  <si>
    <t>1.1.5</t>
  </si>
  <si>
    <t>TOTAIS MENSAIS</t>
  </si>
  <si>
    <t>DESCRIÇÃO 
DOS SERVIÇOS</t>
  </si>
  <si>
    <t>COMPOSIÇÕES DA PLANILHA ORÇAMENTÁRIA</t>
  </si>
  <si>
    <t>SERVIÇOS PRELIMINARES</t>
  </si>
  <si>
    <t>CDHU</t>
  </si>
  <si>
    <t>INFRAESTRUTURA</t>
  </si>
  <si>
    <t>SINAPI</t>
  </si>
  <si>
    <t>VALOR GLOBAL:</t>
  </si>
  <si>
    <t>UN</t>
  </si>
  <si>
    <t>M2</t>
  </si>
  <si>
    <t>M</t>
  </si>
  <si>
    <t>M3</t>
  </si>
  <si>
    <t>03.01.020</t>
  </si>
  <si>
    <t>Demolição manual de concreto simples</t>
  </si>
  <si>
    <t>03.03.060</t>
  </si>
  <si>
    <t>Demolição manual de revestimento em massa de piso</t>
  </si>
  <si>
    <t>03.04.020</t>
  </si>
  <si>
    <t>Demolição manual de revestimento cerâmico, incluindo a base</t>
  </si>
  <si>
    <t>04.02.020</t>
  </si>
  <si>
    <t>Retirada de peças lineares em madeira com seção até 60 cm²</t>
  </si>
  <si>
    <t>04.11.020</t>
  </si>
  <si>
    <t>Retirada de aparelho sanitário incluindo acessórios</t>
  </si>
  <si>
    <t>04.11.120</t>
  </si>
  <si>
    <t>Retirada de torneira ou chuveiro</t>
  </si>
  <si>
    <t>04.30.020</t>
  </si>
  <si>
    <t>Remoção de calha ou rufo</t>
  </si>
  <si>
    <t>06.02.020</t>
  </si>
  <si>
    <t>06.11.020</t>
  </si>
  <si>
    <t>Reaterro manual para simples regularização sem compactação</t>
  </si>
  <si>
    <t>08.05.100</t>
  </si>
  <si>
    <t>15.20.020</t>
  </si>
  <si>
    <t>Fornecimento de peças diversas para estrutura em madeira</t>
  </si>
  <si>
    <t>16.02.020</t>
  </si>
  <si>
    <t>Telha de barro tipo francesa</t>
  </si>
  <si>
    <t>16.02.230</t>
  </si>
  <si>
    <t>Cumeeira de barro emboçado tipos: plan, romana, italiana, francesa e paulistinha</t>
  </si>
  <si>
    <t>16.33.052</t>
  </si>
  <si>
    <t>Calha, rufo, afins em chapa galvanizada nº 24 - corte 0,50 m</t>
  </si>
  <si>
    <t>16.33.062</t>
  </si>
  <si>
    <t>Calha, rufo, afins em chapa galvanizada nº 24 - corte 1,00 m</t>
  </si>
  <si>
    <t>17.02.020</t>
  </si>
  <si>
    <t>Chapisco</t>
  </si>
  <si>
    <t>17.02.140</t>
  </si>
  <si>
    <t>Emboço desempenado com espuma de poliéster</t>
  </si>
  <si>
    <t>17.05.070</t>
  </si>
  <si>
    <t>Piso com requadro em concreto simples com controle de fck= 20 MPa</t>
  </si>
  <si>
    <t>18.06.350</t>
  </si>
  <si>
    <t>Assentamento de pisos e revestimentos cerâmicos com argamassa mista</t>
  </si>
  <si>
    <t>18.11.052</t>
  </si>
  <si>
    <t>Revestimento em placa cerâmica esmaltada, tipo monoporosa, assentado e rejuntado com argamassa industrializada</t>
  </si>
  <si>
    <t>22.01.210</t>
  </si>
  <si>
    <t>Testeira em tábua aparelhada, largura até 20cm</t>
  </si>
  <si>
    <t>PINTURA</t>
  </si>
  <si>
    <t>33.02.060</t>
  </si>
  <si>
    <t>Massa corrida a base de PVA</t>
  </si>
  <si>
    <t>33.05.330</t>
  </si>
  <si>
    <t>Verniz em superfície de madeira</t>
  </si>
  <si>
    <t>33.10.020</t>
  </si>
  <si>
    <t>Tinta látex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</si>
  <si>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</si>
  <si>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</si>
  <si>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</si>
  <si>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</si>
  <si>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33.11.050</t>
  </si>
  <si>
    <t>Esmalte à base água em superfície metálica, inclusive preparo</t>
  </si>
  <si>
    <t>37.04.250</t>
  </si>
  <si>
    <t>37.13.630</t>
  </si>
  <si>
    <t>37.24.042</t>
  </si>
  <si>
    <t>38.01.040</t>
  </si>
  <si>
    <t>38.19.040</t>
  </si>
  <si>
    <t>39.02.020</t>
  </si>
  <si>
    <t>39.04.080</t>
  </si>
  <si>
    <t>40.11.010</t>
  </si>
  <si>
    <t>41.10.500</t>
  </si>
  <si>
    <t>41.11.450</t>
  </si>
  <si>
    <t>41.11.703</t>
  </si>
  <si>
    <t>42.05.110</t>
  </si>
  <si>
    <t>42.05.210</t>
  </si>
  <si>
    <t>44.01.052</t>
  </si>
  <si>
    <t>Bacia sifonada de louça com tampa - 6 litros</t>
  </si>
  <si>
    <t>44.01.240</t>
  </si>
  <si>
    <t>Lavatório em louça com coluna suspensa</t>
  </si>
  <si>
    <t>44.03.590</t>
  </si>
  <si>
    <t>Torneira de mesa para pia com bica móvel e arejador em latão fundido cromado</t>
  </si>
  <si>
    <t>44.20.010</t>
  </si>
  <si>
    <t>Sifão plástico sanfonado universal de 1´</t>
  </si>
  <si>
    <t>44.20.100</t>
  </si>
  <si>
    <t>Engate flexível metálico DN= 1/2´</t>
  </si>
  <si>
    <t>46.03.038</t>
  </si>
  <si>
    <t>Tubo de PVC rígido PxB com virola e anel de borracha, linha esgoto série reforçada ´R´, DN= 50 mm, inclusive conexões</t>
  </si>
  <si>
    <t>46.03.050</t>
  </si>
  <si>
    <t>Tubo de PVC rígido PxB com virola e anel de borracha, linha esgoto série reforçada ´R´, DN= 100 mm, inclusive conexões</t>
  </si>
  <si>
    <t>49.01.020</t>
  </si>
  <si>
    <t>Caixa sifonada de PVC rígido de 100 x 150 x 50 mm, com grelha</t>
  </si>
  <si>
    <t>PLANILHA ORÇAMENTÁRIA</t>
  </si>
  <si>
    <t>INSTALAÇÕES ELÉTRICAS</t>
  </si>
  <si>
    <t>ILUMINAÇÃO</t>
  </si>
  <si>
    <t>ESCAVAÇÃO DE VALA</t>
  </si>
  <si>
    <t>ELETRODUTO</t>
  </si>
  <si>
    <t>CAIXA DE PASSAGEM</t>
  </si>
  <si>
    <t>CABO 4MM² - FASE</t>
  </si>
  <si>
    <t>CABO 4MM² - VERDE</t>
  </si>
  <si>
    <t>HASTE DE ATERRAMENTO</t>
  </si>
  <si>
    <t>CABO DE COBRE NU</t>
  </si>
  <si>
    <t>ENTRADA DE ENERGIA</t>
  </si>
  <si>
    <t>POSTE PADRAO ENERGIA</t>
  </si>
  <si>
    <t>CAIXA DE COMANDO PARA DISJUNTORES</t>
  </si>
  <si>
    <t>ATERRAMENTO</t>
  </si>
  <si>
    <t>POSTE 4M</t>
  </si>
  <si>
    <t>LUMINARIA LED 120W</t>
  </si>
  <si>
    <t>FOTO CELULA</t>
  </si>
  <si>
    <t>SIMULADOR DE CAMINHADA DUPLO</t>
  </si>
  <si>
    <t>PRESSÃO DE PERNAS DUPLO</t>
  </si>
  <si>
    <t>ROTAÇÃO DIAGONAL DUPLO</t>
  </si>
  <si>
    <t>PEITORAL DUPLO</t>
  </si>
  <si>
    <t>JOGO DE BARRAS PARA ALONGAMENTO</t>
  </si>
  <si>
    <t>CDHU 198 SD</t>
  </si>
  <si>
    <t>DRENO</t>
  </si>
  <si>
    <t>COTAÇÃO</t>
  </si>
  <si>
    <t>001</t>
  </si>
  <si>
    <t>QUADRO DE COMANDO SOBREPOR PARA DISJUNTORES DE PROTEÇÃO IP 54 300 X 300 X 150 mm c/ ACESSÓRIOS</t>
  </si>
  <si>
    <t>DISJUNTOR GERAL BIPOLAR</t>
  </si>
  <si>
    <t>DISJUNTORES 20A BIPOLAR</t>
  </si>
  <si>
    <t>DPS BIPOLAR</t>
  </si>
  <si>
    <t>SUPORTE</t>
  </si>
  <si>
    <t xml:space="preserve">UN </t>
  </si>
  <si>
    <t>CAIXA ENTERRADA ELÉTRICA RETANGULAR, EM ALVENARIA COM BLOCOS DE CONCRETO, FUNDO COM BRITA, DIMENSÕES INTERNAS: 0,4X0,4X0,4 M. AF_12/2020</t>
  </si>
  <si>
    <t>1.2</t>
  </si>
  <si>
    <t>1.2.1</t>
  </si>
  <si>
    <t>1.2.2</t>
  </si>
  <si>
    <t>1.2.3</t>
  </si>
  <si>
    <t>PADRÃO DE ENTRADA DE ENERGIA ELÉTRICA CATEGORIA B1 - GED 13 - CPFL C/ LEITURA NO ALTO DO POSTE ATRAVÉS DE LENTE (GED 5788 - CPFL) COMPLETO INCLUSIVE POSTE DUPLO "T" - 7,5 X 90 daN - COMPLETO - FORNECIMENTO E INSTALAÇÃO</t>
  </si>
  <si>
    <t>CONECTOR</t>
  </si>
  <si>
    <t>dreno com 2,0m</t>
  </si>
  <si>
    <t>1.1.4</t>
  </si>
  <si>
    <t>1.1.6</t>
  </si>
  <si>
    <t>1.2.4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</si>
  <si>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</si>
  <si>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</si>
  <si>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</si>
  <si>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</si>
  <si>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</si>
  <si>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</si>
  <si>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</si>
  <si>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</si>
  <si>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</si>
  <si>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1.4.4</t>
  </si>
  <si>
    <t>1.4.5</t>
  </si>
  <si>
    <t>1.4.6</t>
  </si>
  <si>
    <t>Empresa</t>
  </si>
  <si>
    <t>Produto / Empresa</t>
  </si>
  <si>
    <t>Life Esportes</t>
  </si>
  <si>
    <t>Milla Equipamentos</t>
  </si>
  <si>
    <t>MobileBras</t>
  </si>
  <si>
    <t>Ziober Brasil</t>
  </si>
  <si>
    <t>Tryanon</t>
  </si>
  <si>
    <t>ORÇ001</t>
  </si>
  <si>
    <t>ORÇ002</t>
  </si>
  <si>
    <t>ORÇ005</t>
  </si>
  <si>
    <t>ORÇ003</t>
  </si>
  <si>
    <t>ORÇ004</t>
  </si>
  <si>
    <t>CRONOGRAMA
FÍSICO-FINANCEIRO</t>
  </si>
  <si>
    <t>1º MÊS</t>
  </si>
  <si>
    <t>2º MÊS</t>
  </si>
  <si>
    <t>3º MÊS</t>
  </si>
  <si>
    <t>GOVERNO DO ESTADO DE SÃO PAULO</t>
  </si>
  <si>
    <t xml:space="preserve">MUNICÍPIO:  </t>
  </si>
  <si>
    <t>DATA BASE:</t>
  </si>
  <si>
    <t>SECRETARIA DE DESENVOLVIMENTO REGIONAL</t>
  </si>
  <si>
    <t>SUBSECRETARIA DE CONVÊNIOS COM MUNICÍPIOS E ENTIDADES NÃO GOVERNAMENTAIS</t>
  </si>
  <si>
    <t>OBJETO:</t>
  </si>
  <si>
    <t>PRAZO PROPOSTO</t>
  </si>
  <si>
    <t>SERVIÇO</t>
  </si>
  <si>
    <t>UNIDADE</t>
  </si>
  <si>
    <t>1ª ETAPA</t>
  </si>
  <si>
    <t>2ª ETAPA</t>
  </si>
  <si>
    <t>3ª ETAPA</t>
  </si>
  <si>
    <t>R$</t>
  </si>
  <si>
    <t>RECURSOS ESTADUAL</t>
  </si>
  <si>
    <t>RECURSOS PRÓPRIO</t>
  </si>
  <si>
    <t>Local:</t>
  </si>
  <si>
    <t>Data:</t>
  </si>
  <si>
    <t>RESPONSÁVEL TÉCNICO DA OBRA</t>
  </si>
  <si>
    <t>Santa Lúcia - SP</t>
  </si>
  <si>
    <t>m²</t>
  </si>
  <si>
    <r>
      <t xml:space="preserve">Prazo de liberação: 
</t>
    </r>
    <r>
      <rPr>
        <sz val="10"/>
        <rFont val="Calibri"/>
        <family val="2"/>
        <scheme val="minor"/>
      </rPr>
      <t>01 mês após a expedição da ordem de serviço</t>
    </r>
  </si>
  <si>
    <t>30 de outubro de 2025.</t>
  </si>
  <si>
    <t>MARCELO AUGUSTO LEME</t>
  </si>
  <si>
    <t>PRAZO DE
EXECUÇÃO:</t>
  </si>
  <si>
    <t>PERIODO:</t>
  </si>
  <si>
    <t xml:space="preserve">Prazo de liberação: 
</t>
  </si>
  <si>
    <t>unid</t>
  </si>
  <si>
    <t>CREA 5070563260</t>
  </si>
  <si>
    <t>ART 2620251605017</t>
  </si>
  <si>
    <t>23 meses</t>
  </si>
  <si>
    <r>
      <t xml:space="preserve">INÍCIO: </t>
    </r>
    <r>
      <rPr>
        <sz val="12"/>
        <rFont val="Calibri"/>
        <family val="2"/>
        <scheme val="minor"/>
      </rPr>
      <t>data da assinatura do convênio.</t>
    </r>
  </si>
  <si>
    <r>
      <t xml:space="preserve">FINAL:  </t>
    </r>
    <r>
      <rPr>
        <sz val="12"/>
        <rFont val="Calibri"/>
        <family val="2"/>
        <scheme val="minor"/>
      </rPr>
      <t>24 meses a partir da data da assinatura do convênio.</t>
    </r>
  </si>
  <si>
    <t>SANTA LÚCIA-SP</t>
  </si>
  <si>
    <r>
      <t>PERIODO:</t>
    </r>
    <r>
      <rPr>
        <sz val="12"/>
        <rFont val="Calibri"/>
        <family val="2"/>
        <scheme val="minor"/>
      </rPr>
      <t xml:space="preserve"> 24 meses</t>
    </r>
  </si>
  <si>
    <t>REFORMA DO PRÉDIO DA ASSISTENCIA SOCIAL</t>
  </si>
  <si>
    <t>INSTALAÇÕES HIDRÁULICAS</t>
  </si>
  <si>
    <t>PISO E REVESTIMENTOS</t>
  </si>
  <si>
    <t>2.3</t>
  </si>
  <si>
    <t>2.4</t>
  </si>
  <si>
    <t>2.5</t>
  </si>
  <si>
    <t>PINTURA INTERNA</t>
  </si>
  <si>
    <t>PINTURA EXTERNA</t>
  </si>
  <si>
    <t>ESQUADRIAS</t>
  </si>
  <si>
    <t>GRADIL E PORTÕES</t>
  </si>
  <si>
    <t>PINTURA DE LOGO DA ASSISTENCIA SOCIAL</t>
  </si>
  <si>
    <t>PINTURA DE SÍMBOLOS E TEXTOS COM TINTA ACRÍLICA, DEMARCAÇÃO COM FITA ADESIVA E APLICAÇÃO COM ROLO. AF_05/2021</t>
  </si>
  <si>
    <t>RETIRADA E RECOLOCAÇÃO DE TELHA CERÂMICA DE ENCAIXE, COM ATÉ DUAS ÁGUAS, INCLUSO IÇAMENTO. AF_07/2019</t>
  </si>
  <si>
    <t>SINAPI 2025-09</t>
  </si>
  <si>
    <t>MANUTENÇÃO DE TELHADO</t>
  </si>
  <si>
    <t>5.1</t>
  </si>
  <si>
    <t>5.2</t>
  </si>
  <si>
    <t>5.3</t>
  </si>
  <si>
    <t>5.4</t>
  </si>
  <si>
    <t>5.5</t>
  </si>
  <si>
    <t>5.6</t>
  </si>
  <si>
    <t>5.7</t>
  </si>
  <si>
    <t>1.5</t>
  </si>
  <si>
    <t>1.6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</si>
  <si>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</si>
  <si>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</si>
  <si>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</si>
  <si>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</si>
  <si>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</si>
  <si>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</si>
  <si>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</si>
  <si>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</si>
  <si>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</si>
  <si>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</si>
  <si>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</si>
  <si>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4.1.1</t>
  </si>
  <si>
    <t>4.1.2</t>
  </si>
  <si>
    <t>4.1.3</t>
  </si>
  <si>
    <t>4.1.4</t>
  </si>
  <si>
    <t>4.2.1</t>
  </si>
  <si>
    <t>4.3.1</t>
  </si>
  <si>
    <t>4.4</t>
  </si>
  <si>
    <t>4.4.1</t>
  </si>
  <si>
    <t>4.5</t>
  </si>
  <si>
    <t>4.5.1</t>
  </si>
  <si>
    <t>AVENIDA XAVIER DE MENDONÇA, 142 - CENTRO</t>
  </si>
  <si>
    <t>LOCAL: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</si>
</sst>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;@"/>
    <numFmt numFmtId="165" formatCode="_-* #,##0.00_-;\-* #,##0.00_-;_-* \-??_-;_-@_-"/>
    <numFmt numFmtId="166" formatCode="_(* #,##0.00_);_(* \(#,##0.00\);_(* \-??_);_(@_)"/>
    <numFmt numFmtId="167" formatCode="_-&quot;R$ &quot;* #,##0.00_-;&quot;-R$ &quot;* #,##0.00_-;_-&quot;R$ &quot;* \-??_-;_-@_-"/>
    <numFmt numFmtId="168" formatCode="\(0%\)"/>
    <numFmt numFmtId="169" formatCode="\ dd\ &quot;de&quot;\ mmmm\ &quot;de&quot;\ 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53FA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1D2287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3FA"/>
        <bgColor indexed="64"/>
      </patternFill>
    </fill>
    <fill>
      <patternFill patternType="solid">
        <fgColor rgb="FFCDDEFF"/>
        <bgColor indexed="64"/>
      </patternFill>
    </fill>
    <fill>
      <patternFill patternType="solid">
        <fgColor rgb="FF1E228C"/>
        <bgColor indexed="64"/>
      </patternFill>
    </fill>
    <fill>
      <patternFill patternType="solid">
        <fgColor rgb="FFB3CCFF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rgb="FFEBF2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3B7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rgb="FF1E228C"/>
      </top>
      <bottom style="thick">
        <color rgb="FF1E228C"/>
      </bottom>
      <diagonal/>
    </border>
    <border>
      <left/>
      <right/>
      <top style="thick">
        <color rgb="FF1E228C"/>
      </top>
      <bottom style="thick">
        <color rgb="FF1E228C"/>
      </bottom>
      <diagonal/>
    </border>
    <border>
      <left/>
      <right style="thin">
        <color indexed="64"/>
      </right>
      <top style="thick">
        <color rgb="FF1E228C"/>
      </top>
      <bottom style="thick">
        <color rgb="FF1E228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0" applyNumberFormat="0" applyBorder="0" applyAlignment="0" applyProtection="0"/>
    <xf numFmtId="0" fontId="7" fillId="16" borderId="14" applyNumberFormat="0" applyAlignment="0" applyProtection="0"/>
    <xf numFmtId="0" fontId="8" fillId="17" borderId="15" applyNumberFormat="0" applyAlignment="0" applyProtection="0"/>
    <xf numFmtId="0" fontId="9" fillId="0" borderId="16" applyNumberFormat="0" applyFill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0" fillId="8" borderId="14" applyNumberFormat="0" applyAlignment="0" applyProtection="0"/>
    <xf numFmtId="167" fontId="2" fillId="0" borderId="0" applyFill="0" applyBorder="0" applyAlignment="0" applyProtection="0"/>
    <xf numFmtId="0" fontId="2" fillId="0" borderId="0"/>
    <xf numFmtId="0" fontId="4" fillId="0" borderId="0"/>
    <xf numFmtId="0" fontId="2" fillId="10" borderId="17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1" fillId="16" borderId="1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22" applyNumberFormat="0" applyFill="0" applyAlignment="0" applyProtection="0"/>
    <xf numFmtId="166" fontId="2" fillId="0" borderId="0" applyFill="0" applyBorder="0" applyAlignment="0" applyProtection="0"/>
    <xf numFmtId="165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20" fillId="2" borderId="6" xfId="4" applyFont="1" applyFill="1" applyBorder="1" applyAlignment="1">
      <alignment horizontal="right" vertical="center"/>
    </xf>
    <xf numFmtId="0" fontId="21" fillId="0" borderId="0" xfId="4" applyFont="1" applyAlignment="1">
      <alignment vertical="center"/>
    </xf>
    <xf numFmtId="1" fontId="25" fillId="3" borderId="6" xfId="4" applyNumberFormat="1" applyFont="1" applyFill="1" applyBorder="1" applyAlignment="1">
      <alignment horizontal="center" vertical="center"/>
    </xf>
    <xf numFmtId="1" fontId="24" fillId="3" borderId="27" xfId="4" applyNumberFormat="1" applyFont="1" applyFill="1" applyBorder="1" applyAlignment="1">
      <alignment horizontal="center" vertical="center"/>
    </xf>
    <xf numFmtId="0" fontId="24" fillId="3" borderId="27" xfId="4" applyFont="1" applyFill="1" applyBorder="1" applyAlignment="1">
      <alignment vertical="center"/>
    </xf>
    <xf numFmtId="0" fontId="24" fillId="3" borderId="27" xfId="4" applyFont="1" applyFill="1" applyBorder="1" applyAlignment="1">
      <alignment horizontal="center" vertical="center"/>
    </xf>
    <xf numFmtId="44" fontId="24" fillId="3" borderId="27" xfId="2" applyFont="1" applyFill="1" applyBorder="1" applyAlignment="1">
      <alignment horizontal="center" vertical="center"/>
    </xf>
    <xf numFmtId="2" fontId="24" fillId="3" borderId="4" xfId="4" applyNumberFormat="1" applyFont="1" applyFill="1" applyBorder="1" applyAlignment="1">
      <alignment horizontal="center" vertical="center"/>
    </xf>
    <xf numFmtId="44" fontId="24" fillId="3" borderId="5" xfId="2" applyFont="1" applyFill="1" applyBorder="1" applyAlignment="1">
      <alignment horizontal="center" vertical="center"/>
    </xf>
    <xf numFmtId="44" fontId="24" fillId="3" borderId="4" xfId="2" applyFont="1" applyFill="1" applyBorder="1" applyAlignment="1">
      <alignment horizontal="center" vertical="center"/>
    </xf>
    <xf numFmtId="1" fontId="26" fillId="4" borderId="6" xfId="4" applyNumberFormat="1" applyFont="1" applyFill="1" applyBorder="1" applyAlignment="1">
      <alignment horizontal="center" vertical="center"/>
    </xf>
    <xf numFmtId="1" fontId="26" fillId="4" borderId="27" xfId="4" applyNumberFormat="1" applyFont="1" applyFill="1" applyBorder="1" applyAlignment="1">
      <alignment horizontal="center" vertical="center"/>
    </xf>
    <xf numFmtId="0" fontId="26" fillId="4" borderId="27" xfId="4" applyFont="1" applyFill="1" applyBorder="1" applyAlignment="1">
      <alignment vertical="center"/>
    </xf>
    <xf numFmtId="0" fontId="26" fillId="4" borderId="27" xfId="4" applyFont="1" applyFill="1" applyBorder="1" applyAlignment="1">
      <alignment horizontal="center" vertical="center"/>
    </xf>
    <xf numFmtId="44" fontId="26" fillId="4" borderId="27" xfId="2" applyFont="1" applyFill="1" applyBorder="1" applyAlignment="1">
      <alignment horizontal="center" vertical="center"/>
    </xf>
    <xf numFmtId="44" fontId="26" fillId="4" borderId="5" xfId="2" applyFont="1" applyFill="1" applyBorder="1" applyAlignment="1">
      <alignment horizontal="center" vertical="center"/>
    </xf>
    <xf numFmtId="44" fontId="26" fillId="4" borderId="4" xfId="2" applyFont="1" applyFill="1" applyBorder="1" applyAlignment="1">
      <alignment horizontal="center" vertical="center"/>
    </xf>
    <xf numFmtId="0" fontId="22" fillId="0" borderId="10" xfId="4" applyFont="1" applyBorder="1" applyAlignment="1">
      <alignment horizontal="center" vertical="center" wrapText="1"/>
    </xf>
    <xf numFmtId="0" fontId="22" fillId="0" borderId="28" xfId="4" applyFont="1" applyBorder="1" applyAlignment="1">
      <alignment horizontal="center" vertical="center" wrapText="1"/>
    </xf>
    <xf numFmtId="0" fontId="22" fillId="0" borderId="28" xfId="4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 wrapText="1"/>
    </xf>
    <xf numFmtId="43" fontId="22" fillId="0" borderId="28" xfId="1" applyFont="1" applyBorder="1" applyAlignment="1">
      <alignment horizontal="right" vertical="center" wrapText="1"/>
    </xf>
    <xf numFmtId="0" fontId="22" fillId="0" borderId="9" xfId="4" applyFont="1" applyBorder="1" applyAlignment="1">
      <alignment horizontal="center" vertical="center"/>
    </xf>
    <xf numFmtId="44" fontId="21" fillId="0" borderId="0" xfId="4" applyNumberFormat="1" applyFont="1" applyAlignment="1">
      <alignment vertical="center"/>
    </xf>
    <xf numFmtId="1" fontId="26" fillId="4" borderId="4" xfId="4" applyNumberFormat="1" applyFont="1" applyFill="1" applyBorder="1" applyAlignment="1">
      <alignment horizontal="center" vertical="center"/>
    </xf>
    <xf numFmtId="0" fontId="26" fillId="4" borderId="4" xfId="4" applyFont="1" applyFill="1" applyBorder="1" applyAlignment="1">
      <alignment vertical="center"/>
    </xf>
    <xf numFmtId="0" fontId="26" fillId="4" borderId="4" xfId="4" applyFont="1" applyFill="1" applyBorder="1" applyAlignment="1">
      <alignment horizontal="center" vertical="center"/>
    </xf>
    <xf numFmtId="44" fontId="22" fillId="0" borderId="28" xfId="2" applyFont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right" vertical="center"/>
    </xf>
    <xf numFmtId="1" fontId="25" fillId="5" borderId="1" xfId="4" applyNumberFormat="1" applyFont="1" applyFill="1" applyBorder="1" applyAlignment="1">
      <alignment horizontal="center" vertical="center"/>
    </xf>
    <xf numFmtId="1" fontId="25" fillId="5" borderId="0" xfId="4" applyNumberFormat="1" applyFont="1" applyFill="1" applyBorder="1" applyAlignment="1">
      <alignment horizontal="center" vertical="center"/>
    </xf>
    <xf numFmtId="0" fontId="25" fillId="5" borderId="0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center" vertical="center"/>
    </xf>
    <xf numFmtId="44" fontId="25" fillId="5" borderId="0" xfId="2" applyFont="1" applyFill="1" applyBorder="1" applyAlignment="1">
      <alignment horizontal="center" vertical="center"/>
    </xf>
    <xf numFmtId="44" fontId="25" fillId="5" borderId="0" xfId="2" applyFont="1" applyFill="1" applyBorder="1" applyAlignment="1">
      <alignment horizontal="right" vertical="center"/>
    </xf>
    <xf numFmtId="44" fontId="25" fillId="5" borderId="2" xfId="2" applyFont="1" applyFill="1" applyBorder="1" applyAlignment="1">
      <alignment horizontal="center" vertical="center"/>
    </xf>
    <xf numFmtId="0" fontId="20" fillId="2" borderId="30" xfId="4" applyFont="1" applyFill="1" applyBorder="1" applyAlignment="1">
      <alignment horizontal="center" vertical="center"/>
    </xf>
    <xf numFmtId="0" fontId="20" fillId="2" borderId="31" xfId="4" applyFont="1" applyFill="1" applyBorder="1" applyAlignment="1">
      <alignment horizontal="center" vertical="center"/>
    </xf>
    <xf numFmtId="44" fontId="20" fillId="2" borderId="31" xfId="2" applyFont="1" applyFill="1" applyBorder="1" applyAlignment="1">
      <alignment horizontal="center" vertical="center"/>
    </xf>
    <xf numFmtId="44" fontId="20" fillId="2" borderId="31" xfId="2" applyFont="1" applyFill="1" applyBorder="1" applyAlignment="1">
      <alignment horizontal="center" vertical="center" wrapText="1"/>
    </xf>
    <xf numFmtId="2" fontId="20" fillId="2" borderId="32" xfId="4" applyNumberFormat="1" applyFont="1" applyFill="1" applyBorder="1" applyAlignment="1">
      <alignment horizontal="center" vertical="center"/>
    </xf>
    <xf numFmtId="17" fontId="21" fillId="2" borderId="25" xfId="4" applyNumberFormat="1" applyFont="1" applyFill="1" applyBorder="1" applyAlignment="1">
      <alignment horizontal="center" vertical="center"/>
    </xf>
    <xf numFmtId="0" fontId="21" fillId="2" borderId="26" xfId="4" applyFont="1" applyFill="1" applyBorder="1" applyAlignment="1">
      <alignment horizontal="center" vertical="center"/>
    </xf>
    <xf numFmtId="10" fontId="21" fillId="21" borderId="0" xfId="3" applyNumberFormat="1" applyFont="1" applyFill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44" fontId="21" fillId="0" borderId="0" xfId="4" applyNumberFormat="1" applyFont="1" applyAlignment="1">
      <alignment horizontal="center" vertical="center"/>
    </xf>
    <xf numFmtId="44" fontId="22" fillId="0" borderId="9" xfId="2" applyFont="1" applyFill="1" applyBorder="1" applyAlignment="1">
      <alignment horizontal="center" vertical="center" wrapText="1"/>
    </xf>
    <xf numFmtId="44" fontId="22" fillId="0" borderId="11" xfId="2" applyFont="1" applyFill="1" applyBorder="1" applyAlignment="1">
      <alignment horizontal="center" vertical="center" wrapText="1"/>
    </xf>
    <xf numFmtId="0" fontId="22" fillId="0" borderId="10" xfId="4" applyFont="1" applyFill="1" applyBorder="1" applyAlignment="1">
      <alignment horizontal="center" vertical="center" wrapText="1"/>
    </xf>
    <xf numFmtId="0" fontId="27" fillId="4" borderId="27" xfId="4" applyFont="1" applyFill="1" applyBorder="1" applyAlignment="1">
      <alignment horizontal="left" vertical="center" wrapText="1"/>
    </xf>
    <xf numFmtId="0" fontId="27" fillId="0" borderId="28" xfId="4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0" fontId="22" fillId="0" borderId="28" xfId="4" applyFont="1" applyFill="1" applyBorder="1" applyAlignment="1">
      <alignment horizontal="center" vertical="center" wrapText="1"/>
    </xf>
    <xf numFmtId="0" fontId="22" fillId="0" borderId="28" xfId="4" applyFont="1" applyFill="1" applyBorder="1" applyAlignment="1">
      <alignment horizontal="center" vertical="center"/>
    </xf>
    <xf numFmtId="0" fontId="22" fillId="0" borderId="9" xfId="4" quotePrefix="1" applyFont="1" applyFill="1" applyBorder="1" applyAlignment="1">
      <alignment horizontal="center" vertical="center"/>
    </xf>
    <xf numFmtId="1" fontId="25" fillId="22" borderId="6" xfId="4" applyNumberFormat="1" applyFont="1" applyFill="1" applyBorder="1" applyAlignment="1">
      <alignment horizontal="center" vertical="center"/>
    </xf>
    <xf numFmtId="1" fontId="24" fillId="22" borderId="27" xfId="4" applyNumberFormat="1" applyFont="1" applyFill="1" applyBorder="1" applyAlignment="1">
      <alignment horizontal="center" vertical="center"/>
    </xf>
    <xf numFmtId="0" fontId="24" fillId="22" borderId="27" xfId="4" applyFont="1" applyFill="1" applyBorder="1" applyAlignment="1">
      <alignment vertical="center"/>
    </xf>
    <xf numFmtId="0" fontId="27" fillId="22" borderId="27" xfId="4" applyFont="1" applyFill="1" applyBorder="1" applyAlignment="1">
      <alignment horizontal="left" vertical="center" wrapText="1"/>
    </xf>
    <xf numFmtId="0" fontId="24" fillId="22" borderId="27" xfId="4" applyFont="1" applyFill="1" applyBorder="1" applyAlignment="1">
      <alignment horizontal="center" vertical="center"/>
    </xf>
    <xf numFmtId="44" fontId="24" fillId="22" borderId="27" xfId="2" applyFont="1" applyFill="1" applyBorder="1" applyAlignment="1">
      <alignment horizontal="center" vertical="center"/>
    </xf>
    <xf numFmtId="44" fontId="24" fillId="22" borderId="4" xfId="2" applyFont="1" applyFill="1" applyBorder="1" applyAlignment="1">
      <alignment horizontal="center" vertical="center"/>
    </xf>
    <xf numFmtId="44" fontId="24" fillId="22" borderId="5" xfId="2" applyFont="1" applyFill="1" applyBorder="1" applyAlignment="1">
      <alignment horizontal="center" vertical="center"/>
    </xf>
    <xf numFmtId="0" fontId="22" fillId="2" borderId="0" xfId="4" applyFont="1" applyFill="1" applyBorder="1" applyAlignment="1">
      <alignment horizontal="center" vertical="center" wrapText="1"/>
    </xf>
    <xf numFmtId="0" fontId="22" fillId="2" borderId="0" xfId="4" applyFont="1" applyFill="1" applyBorder="1" applyAlignment="1">
      <alignment horizontal="center" vertical="center"/>
    </xf>
    <xf numFmtId="0" fontId="22" fillId="2" borderId="0" xfId="4" applyFont="1" applyFill="1" applyBorder="1" applyAlignment="1">
      <alignment horizontal="left" vertical="center" wrapText="1"/>
    </xf>
    <xf numFmtId="44" fontId="22" fillId="2" borderId="0" xfId="2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vertical="center"/>
    </xf>
    <xf numFmtId="164" fontId="29" fillId="0" borderId="0" xfId="4" applyNumberFormat="1" applyFont="1" applyAlignment="1">
      <alignment vertical="center"/>
    </xf>
    <xf numFmtId="0" fontId="31" fillId="0" borderId="0" xfId="4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0" fillId="2" borderId="6" xfId="0" applyFont="1" applyFill="1" applyBorder="1" applyAlignment="1">
      <alignment vertical="center" wrapText="1"/>
    </xf>
    <xf numFmtId="0" fontId="20" fillId="2" borderId="25" xfId="0" applyFont="1" applyFill="1" applyBorder="1" applyAlignment="1">
      <alignment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vertical="center"/>
    </xf>
    <xf numFmtId="164" fontId="29" fillId="0" borderId="0" xfId="0" applyNumberFormat="1" applyFont="1"/>
    <xf numFmtId="0" fontId="33" fillId="0" borderId="3" xfId="0" applyFont="1" applyBorder="1"/>
    <xf numFmtId="0" fontId="30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0" xfId="0" applyFont="1" applyFill="1" applyAlignment="1">
      <alignment wrapText="1"/>
    </xf>
    <xf numFmtId="0" fontId="30" fillId="2" borderId="1" xfId="4" applyFont="1" applyFill="1" applyBorder="1" applyAlignment="1">
      <alignment vertical="center"/>
    </xf>
    <xf numFmtId="44" fontId="31" fillId="2" borderId="2" xfId="2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5" borderId="1" xfId="4" applyFont="1" applyFill="1" applyBorder="1" applyAlignment="1">
      <alignment vertical="center"/>
    </xf>
    <xf numFmtId="0" fontId="31" fillId="5" borderId="0" xfId="4" applyFont="1" applyFill="1" applyAlignment="1">
      <alignment horizontal="center" vertical="center"/>
    </xf>
    <xf numFmtId="0" fontId="31" fillId="5" borderId="0" xfId="4" applyFont="1" applyFill="1" applyAlignment="1">
      <alignment vertical="center"/>
    </xf>
    <xf numFmtId="44" fontId="31" fillId="5" borderId="0" xfId="2" applyFont="1" applyFill="1" applyBorder="1" applyAlignment="1">
      <alignment horizontal="center" vertical="center"/>
    </xf>
    <xf numFmtId="164" fontId="32" fillId="0" borderId="0" xfId="4" applyNumberFormat="1" applyFont="1" applyAlignment="1">
      <alignment vertical="center"/>
    </xf>
    <xf numFmtId="0" fontId="30" fillId="2" borderId="1" xfId="4" applyFont="1" applyFill="1" applyBorder="1" applyAlignment="1">
      <alignment horizontal="center" vertical="center"/>
    </xf>
    <xf numFmtId="0" fontId="30" fillId="2" borderId="0" xfId="4" applyFont="1" applyFill="1" applyAlignment="1">
      <alignment horizontal="center" vertical="center"/>
    </xf>
    <xf numFmtId="44" fontId="30" fillId="2" borderId="2" xfId="2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vertical="center" wrapText="1"/>
    </xf>
    <xf numFmtId="44" fontId="32" fillId="5" borderId="13" xfId="0" applyNumberFormat="1" applyFont="1" applyFill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0" fontId="33" fillId="0" borderId="13" xfId="0" quotePrefix="1" applyFont="1" applyBorder="1" applyAlignment="1">
      <alignment horizontal="center" vertical="center"/>
    </xf>
    <xf numFmtId="44" fontId="33" fillId="6" borderId="13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2" fontId="21" fillId="0" borderId="29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44" fontId="21" fillId="0" borderId="37" xfId="2" applyFont="1" applyBorder="1" applyAlignment="1">
      <alignment horizontal="center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169" fontId="21" fillId="0" borderId="0" xfId="0" applyNumberFormat="1" applyFont="1" applyAlignment="1">
      <alignment horizontal="left" vertical="center"/>
    </xf>
    <xf numFmtId="0" fontId="21" fillId="0" borderId="24" xfId="0" applyFont="1" applyBorder="1" applyAlignment="1">
      <alignment horizontal="justify" vertical="center"/>
    </xf>
    <xf numFmtId="0" fontId="30" fillId="0" borderId="35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44" fontId="20" fillId="0" borderId="34" xfId="2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4" fontId="35" fillId="0" borderId="34" xfId="2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44" fontId="35" fillId="0" borderId="0" xfId="0" applyNumberFormat="1" applyFont="1" applyAlignment="1">
      <alignment vertical="center"/>
    </xf>
    <xf numFmtId="10" fontId="35" fillId="0" borderId="0" xfId="3" applyNumberFormat="1" applyFont="1" applyAlignment="1">
      <alignment vertical="center"/>
    </xf>
    <xf numFmtId="44" fontId="36" fillId="0" borderId="34" xfId="2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44" fontId="36" fillId="0" borderId="0" xfId="2" applyFont="1" applyAlignment="1">
      <alignment vertical="center"/>
    </xf>
    <xf numFmtId="10" fontId="36" fillId="0" borderId="0" xfId="3" applyNumberFormat="1" applyFont="1" applyAlignment="1">
      <alignment vertical="center"/>
    </xf>
    <xf numFmtId="44" fontId="22" fillId="0" borderId="28" xfId="2" applyFont="1" applyBorder="1" applyAlignment="1">
      <alignment horizontal="right" vertical="center" wrapText="1"/>
    </xf>
    <xf numFmtId="1" fontId="20" fillId="23" borderId="39" xfId="4" applyNumberFormat="1" applyFont="1" applyFill="1" applyBorder="1" applyAlignment="1">
      <alignment horizontal="center" vertical="center"/>
    </xf>
    <xf numFmtId="1" fontId="20" fillId="23" borderId="40" xfId="4" applyNumberFormat="1" applyFont="1" applyFill="1" applyBorder="1" applyAlignment="1">
      <alignment horizontal="center" vertical="center"/>
    </xf>
    <xf numFmtId="0" fontId="20" fillId="23" borderId="40" xfId="4" applyFont="1" applyFill="1" applyBorder="1" applyAlignment="1">
      <alignment vertical="center"/>
    </xf>
    <xf numFmtId="0" fontId="20" fillId="23" borderId="40" xfId="4" applyFont="1" applyFill="1" applyBorder="1" applyAlignment="1">
      <alignment horizontal="center" vertical="center"/>
    </xf>
    <xf numFmtId="44" fontId="20" fillId="23" borderId="40" xfId="2" applyFont="1" applyFill="1" applyBorder="1" applyAlignment="1">
      <alignment horizontal="center" vertical="center"/>
    </xf>
    <xf numFmtId="44" fontId="20" fillId="23" borderId="41" xfId="2" applyFont="1" applyFill="1" applyBorder="1" applyAlignment="1">
      <alignment horizontal="center" vertical="center"/>
    </xf>
    <xf numFmtId="2" fontId="25" fillId="5" borderId="0" xfId="4" applyNumberFormat="1" applyFont="1" applyFill="1" applyBorder="1" applyAlignment="1">
      <alignment horizontal="right" vertical="center"/>
    </xf>
    <xf numFmtId="0" fontId="38" fillId="0" borderId="10" xfId="4" applyFont="1" applyBorder="1" applyAlignment="1">
      <alignment horizontal="center" vertical="center" wrapText="1"/>
    </xf>
    <xf numFmtId="0" fontId="38" fillId="0" borderId="28" xfId="4" applyFont="1" applyBorder="1" applyAlignment="1">
      <alignment horizontal="center" vertical="center" wrapText="1"/>
    </xf>
    <xf numFmtId="0" fontId="38" fillId="0" borderId="9" xfId="4" applyFont="1" applyBorder="1" applyAlignment="1">
      <alignment horizontal="center" vertical="center"/>
    </xf>
    <xf numFmtId="0" fontId="38" fillId="0" borderId="28" xfId="4" applyFont="1" applyBorder="1" applyAlignment="1">
      <alignment horizontal="left" vertical="center" wrapText="1"/>
    </xf>
    <xf numFmtId="43" fontId="38" fillId="0" borderId="28" xfId="1" applyFont="1" applyBorder="1" applyAlignment="1">
      <alignment horizontal="right" vertical="center" wrapText="1"/>
    </xf>
    <xf numFmtId="44" fontId="38" fillId="0" borderId="28" xfId="2" applyFont="1" applyBorder="1" applyAlignment="1">
      <alignment horizontal="center" vertical="center" wrapText="1"/>
    </xf>
    <xf numFmtId="44" fontId="38" fillId="0" borderId="9" xfId="2" applyFont="1" applyFill="1" applyBorder="1" applyAlignment="1">
      <alignment horizontal="center" vertical="center" wrapText="1"/>
    </xf>
    <xf numFmtId="44" fontId="38" fillId="0" borderId="11" xfId="2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1" fillId="0" borderId="28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 wrapText="1"/>
    </xf>
    <xf numFmtId="43" fontId="21" fillId="0" borderId="28" xfId="1" applyFont="1" applyBorder="1" applyAlignment="1">
      <alignment horizontal="right" vertical="center" wrapText="1"/>
    </xf>
    <xf numFmtId="44" fontId="21" fillId="0" borderId="28" xfId="2" applyFont="1" applyBorder="1" applyAlignment="1">
      <alignment horizontal="center" vertical="center" wrapText="1"/>
    </xf>
    <xf numFmtId="44" fontId="21" fillId="0" borderId="9" xfId="2" applyFont="1" applyFill="1" applyBorder="1" applyAlignment="1">
      <alignment horizontal="center" vertical="center" wrapText="1"/>
    </xf>
    <xf numFmtId="44" fontId="21" fillId="0" borderId="11" xfId="2" applyFont="1" applyFill="1" applyBorder="1" applyAlignment="1">
      <alignment horizontal="center" vertical="center" wrapText="1"/>
    </xf>
    <xf numFmtId="168" fontId="22" fillId="0" borderId="0" xfId="0" applyNumberFormat="1" applyFont="1" applyBorder="1" applyAlignment="1">
      <alignment horizontal="center" vertical="center"/>
    </xf>
    <xf numFmtId="44" fontId="22" fillId="0" borderId="0" xfId="0" applyNumberFormat="1" applyFont="1" applyBorder="1" applyAlignment="1">
      <alignment horizontal="left" vertical="center"/>
    </xf>
    <xf numFmtId="44" fontId="22" fillId="0" borderId="39" xfId="0" applyNumberFormat="1" applyFont="1" applyBorder="1" applyAlignment="1">
      <alignment horizontal="left" vertical="center"/>
    </xf>
    <xf numFmtId="168" fontId="22" fillId="0" borderId="26" xfId="0" applyNumberFormat="1" applyFont="1" applyBorder="1" applyAlignment="1">
      <alignment horizontal="center" vertical="center"/>
    </xf>
    <xf numFmtId="44" fontId="24" fillId="5" borderId="45" xfId="2" applyFont="1" applyFill="1" applyBorder="1" applyAlignment="1">
      <alignment horizontal="center" vertical="center" wrapText="1"/>
    </xf>
    <xf numFmtId="168" fontId="24" fillId="5" borderId="41" xfId="3" applyNumberFormat="1" applyFont="1" applyFill="1" applyBorder="1" applyAlignment="1">
      <alignment horizontal="center" vertical="center" wrapText="1"/>
    </xf>
    <xf numFmtId="0" fontId="21" fillId="0" borderId="43" xfId="4" applyFont="1" applyBorder="1" applyAlignment="1">
      <alignment vertical="center"/>
    </xf>
    <xf numFmtId="0" fontId="21" fillId="0" borderId="44" xfId="4" applyFont="1" applyBorder="1" applyAlignment="1">
      <alignment vertical="center"/>
    </xf>
    <xf numFmtId="0" fontId="20" fillId="2" borderId="6" xfId="4" applyFont="1" applyFill="1" applyBorder="1" applyAlignment="1">
      <alignment horizontal="right" vertical="center" indent="2"/>
    </xf>
    <xf numFmtId="0" fontId="20" fillId="2" borderId="7" xfId="4" applyFont="1" applyFill="1" applyBorder="1" applyAlignment="1">
      <alignment horizontal="right" vertical="center" indent="2"/>
    </xf>
    <xf numFmtId="0" fontId="20" fillId="2" borderId="1" xfId="4" applyFont="1" applyFill="1" applyBorder="1" applyAlignment="1">
      <alignment horizontal="right" vertical="center" indent="2"/>
    </xf>
    <xf numFmtId="0" fontId="20" fillId="2" borderId="0" xfId="4" applyFont="1" applyFill="1" applyBorder="1" applyAlignment="1">
      <alignment horizontal="right" vertical="center" indent="2"/>
    </xf>
    <xf numFmtId="0" fontId="21" fillId="2" borderId="7" xfId="4" applyFont="1" applyFill="1" applyBorder="1" applyAlignment="1">
      <alignment horizontal="left" vertical="center"/>
    </xf>
    <xf numFmtId="0" fontId="21" fillId="2" borderId="8" xfId="4" applyFont="1" applyFill="1" applyBorder="1" applyAlignment="1">
      <alignment horizontal="left" vertical="center"/>
    </xf>
    <xf numFmtId="0" fontId="21" fillId="2" borderId="0" xfId="4" applyFont="1" applyFill="1" applyBorder="1" applyAlignment="1">
      <alignment horizontal="left" vertical="center"/>
    </xf>
    <xf numFmtId="0" fontId="21" fillId="2" borderId="2" xfId="4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1" fillId="2" borderId="43" xfId="4" applyFont="1" applyFill="1" applyBorder="1" applyAlignment="1">
      <alignment horizontal="left" vertical="center"/>
    </xf>
    <xf numFmtId="1" fontId="25" fillId="5" borderId="42" xfId="4" applyNumberFormat="1" applyFont="1" applyFill="1" applyBorder="1" applyAlignment="1">
      <alignment horizontal="center" vertical="center" wrapText="1"/>
    </xf>
    <xf numFmtId="1" fontId="25" fillId="5" borderId="42" xfId="4" applyNumberFormat="1" applyFont="1" applyFill="1" applyBorder="1" applyAlignment="1">
      <alignment horizontal="center" vertical="center"/>
    </xf>
    <xf numFmtId="1" fontId="25" fillId="5" borderId="35" xfId="4" applyNumberFormat="1" applyFont="1" applyFill="1" applyBorder="1" applyAlignment="1">
      <alignment horizontal="center" vertical="center"/>
    </xf>
    <xf numFmtId="1" fontId="24" fillId="5" borderId="35" xfId="4" applyNumberFormat="1" applyFont="1" applyFill="1" applyBorder="1" applyAlignment="1">
      <alignment horizontal="center" vertical="center"/>
    </xf>
    <xf numFmtId="1" fontId="22" fillId="0" borderId="39" xfId="0" applyNumberFormat="1" applyFont="1" applyBorder="1" applyAlignment="1">
      <alignment horizontal="center" vertical="center"/>
    </xf>
    <xf numFmtId="1" fontId="22" fillId="0" borderId="23" xfId="0" applyNumberFormat="1" applyFont="1" applyBorder="1" applyAlignment="1">
      <alignment horizontal="center" vertical="center"/>
    </xf>
    <xf numFmtId="44" fontId="22" fillId="0" borderId="39" xfId="0" applyNumberFormat="1" applyFont="1" applyBorder="1" applyAlignment="1">
      <alignment horizontal="center" vertical="center"/>
    </xf>
    <xf numFmtId="44" fontId="22" fillId="0" borderId="23" xfId="0" applyNumberFormat="1" applyFont="1" applyBorder="1" applyAlignment="1">
      <alignment horizontal="center" vertical="center"/>
    </xf>
    <xf numFmtId="168" fontId="22" fillId="0" borderId="26" xfId="0" applyNumberFormat="1" applyFont="1" applyBorder="1" applyAlignment="1">
      <alignment horizontal="center" vertical="center"/>
    </xf>
    <xf numFmtId="168" fontId="22" fillId="0" borderId="44" xfId="0" applyNumberFormat="1" applyFont="1" applyBorder="1" applyAlignment="1">
      <alignment horizontal="center" vertical="center"/>
    </xf>
    <xf numFmtId="1" fontId="24" fillId="5" borderId="42" xfId="4" applyNumberFormat="1" applyFont="1" applyFill="1" applyBorder="1" applyAlignment="1">
      <alignment horizontal="right" vertical="center" wrapText="1" indent="1"/>
    </xf>
    <xf numFmtId="0" fontId="22" fillId="0" borderId="23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1" fillId="2" borderId="25" xfId="4" applyFont="1" applyFill="1" applyBorder="1" applyAlignment="1">
      <alignment horizontal="left" vertical="center"/>
    </xf>
    <xf numFmtId="0" fontId="21" fillId="2" borderId="26" xfId="4" applyFont="1" applyFill="1" applyBorder="1" applyAlignment="1">
      <alignment horizontal="left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2" fontId="21" fillId="0" borderId="29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44" fontId="21" fillId="0" borderId="37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left" vertical="center" wrapText="1"/>
    </xf>
    <xf numFmtId="44" fontId="20" fillId="0" borderId="34" xfId="2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36" fillId="0" borderId="34" xfId="0" applyFont="1" applyBorder="1" applyAlignment="1">
      <alignment horizontal="left" vertical="center" wrapText="1"/>
    </xf>
    <xf numFmtId="44" fontId="36" fillId="0" borderId="34" xfId="2" applyFont="1" applyBorder="1" applyAlignment="1">
      <alignment horizontal="center" vertical="center" wrapText="1"/>
    </xf>
    <xf numFmtId="0" fontId="35" fillId="0" borderId="34" xfId="0" applyFont="1" applyBorder="1" applyAlignment="1">
      <alignment horizontal="left" vertical="center" wrapText="1"/>
    </xf>
    <xf numFmtId="44" fontId="35" fillId="0" borderId="34" xfId="2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" fontId="21" fillId="0" borderId="23" xfId="0" applyNumberFormat="1" applyFont="1" applyBorder="1" applyAlignment="1">
      <alignment horizontal="center" vertical="center" wrapText="1"/>
    </xf>
    <xf numFmtId="0" fontId="31" fillId="2" borderId="0" xfId="4" applyFont="1" applyFill="1" applyAlignment="1">
      <alignment horizontal="left" vertical="center" wrapText="1" indent="1"/>
    </xf>
    <xf numFmtId="0" fontId="31" fillId="2" borderId="0" xfId="4" applyFont="1" applyFill="1" applyAlignment="1">
      <alignment horizontal="left" vertical="center" indent="1"/>
    </xf>
    <xf numFmtId="0" fontId="30" fillId="2" borderId="4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</cellXfs>
  <cellStyles count="55">
    <cellStyle name="20% - Ênfase1 2" xfId="7"/>
    <cellStyle name="20% - Ênfase2 2" xfId="8"/>
    <cellStyle name="20% - Ênfase3 2" xfId="9"/>
    <cellStyle name="20% - Ênfase4 2" xfId="10"/>
    <cellStyle name="20% - Ênfase5 2" xfId="11"/>
    <cellStyle name="20% - Ênfase6 2" xfId="12"/>
    <cellStyle name="40% - Ênfase1 2" xfId="13"/>
    <cellStyle name="40% - Ênfase2 2" xfId="14"/>
    <cellStyle name="40% - Ênfase3 2" xfId="15"/>
    <cellStyle name="40% - Ênfase4 2" xfId="16"/>
    <cellStyle name="40% - Ênfase5 2" xfId="17"/>
    <cellStyle name="40% - Ênfase6 2" xfId="18"/>
    <cellStyle name="60% - Ênfase1 2" xfId="19"/>
    <cellStyle name="60% - Ênfase2 2" xfId="20"/>
    <cellStyle name="60% - Ênfase3 2" xfId="21"/>
    <cellStyle name="60% - Ênfase4 2" xfId="22"/>
    <cellStyle name="60% - Ênfase5 2" xfId="23"/>
    <cellStyle name="60% - Ênfase6 2" xfId="24"/>
    <cellStyle name="Bom 2" xfId="25"/>
    <cellStyle name="Cálculo 2" xfId="26"/>
    <cellStyle name="Célula de Verificação 2" xfId="27"/>
    <cellStyle name="Célula Vinculada 2" xfId="28"/>
    <cellStyle name="Ênfase1 2" xfId="29"/>
    <cellStyle name="Ênfase2 2" xfId="30"/>
    <cellStyle name="Ênfase3 2" xfId="31"/>
    <cellStyle name="Ênfase4 2" xfId="32"/>
    <cellStyle name="Ênfase5 2" xfId="33"/>
    <cellStyle name="Ênfase6 2" xfId="34"/>
    <cellStyle name="Entrada 2" xfId="35"/>
    <cellStyle name="Hiperlink 2" xfId="54"/>
    <cellStyle name="Moeda" xfId="2" builtinId="4"/>
    <cellStyle name="Moeda 2" xfId="36"/>
    <cellStyle name="Moeda 3" xfId="6"/>
    <cellStyle name="Normal" xfId="0" builtinId="0"/>
    <cellStyle name="Normal 2" xfId="37"/>
    <cellStyle name="Normal 2 2" xfId="4"/>
    <cellStyle name="Normal 3" xfId="38"/>
    <cellStyle name="Nota 2" xfId="39"/>
    <cellStyle name="Porcentagem" xfId="3" builtinId="5"/>
    <cellStyle name="Porcentagem 2" xfId="41"/>
    <cellStyle name="Porcentagem 2 2" xfId="5"/>
    <cellStyle name="Porcentagem 3" xfId="40"/>
    <cellStyle name="Saída 2" xfId="42"/>
    <cellStyle name="Texto de Aviso 2" xfId="43"/>
    <cellStyle name="Texto Explicativo 2" xfId="44"/>
    <cellStyle name="Título 1 2" xfId="45"/>
    <cellStyle name="Título 2 2" xfId="46"/>
    <cellStyle name="Título 3 2" xfId="47"/>
    <cellStyle name="Título 4 2" xfId="48"/>
    <cellStyle name="Título 5" xfId="49"/>
    <cellStyle name="Total 2" xfId="50"/>
    <cellStyle name="Vírgula" xfId="1" builtinId="3"/>
    <cellStyle name="Vírgula 2" xfId="52"/>
    <cellStyle name="Vírgula 2 2" xfId="53"/>
    <cellStyle name="Vírgula 3" xfId="51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rgb="FF0053FA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53FA"/>
      <color rgb="FF93B7FF"/>
      <color rgb="FF1D2287"/>
      <color rgb="FF1E228C"/>
      <color rgb="FFEBF2FF"/>
      <color rgb="FFD9E6FF"/>
      <color rgb="FFCDDEFF"/>
      <color rgb="FFB3CCFF"/>
      <color rgb="FF646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7" Type="http://schemas.microsoft.com/office/2017/10/relationships/person" Target="persons/person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77519</xdr:colOff>
      <xdr:row>5</xdr:row>
      <xdr:rowOff>149470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FC0E966-F017-4C4E-8669-EA02628BD3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717"/>
        <a:stretch/>
      </xdr:blipFill>
      <xdr:spPr>
        <a:xfrm>
          <a:off x="175260" y="1"/>
          <a:ext cx="6080760" cy="1142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511713</xdr:colOff>
      <xdr:row>5</xdr:row>
      <xdr:rowOff>149470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69D66A7A-8FF4-4D87-8E42-831CF6813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717"/>
        <a:stretch/>
      </xdr:blipFill>
      <xdr:spPr>
        <a:xfrm>
          <a:off x="0" y="1"/>
          <a:ext cx="6243125" cy="1160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5</xdr:col>
      <xdr:colOff>479474</xdr:colOff>
      <xdr:row>5</xdr:row>
      <xdr:rowOff>149469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61C58D4-E284-4B4D-9536-4AE36AC0B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717"/>
        <a:stretch/>
      </xdr:blipFill>
      <xdr:spPr>
        <a:xfrm>
          <a:off x="381000" y="0"/>
          <a:ext cx="6095414" cy="114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405676</xdr:colOff>
      <xdr:row>1</xdr:row>
      <xdr:rowOff>38100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379003FA-8D49-4EAF-97AC-0DCD0FAC8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314"/>
        <a:stretch/>
      </xdr:blipFill>
      <xdr:spPr>
        <a:xfrm>
          <a:off x="175260" y="0"/>
          <a:ext cx="6029236" cy="1181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K74"/>
  <sheetViews>
    <sheetView topLeftCell="A67" zoomScaleNormal="100" workbookViewId="0">
      <selection activeCell="D77" sqref="D77"/>
    </sheetView>
  </sheetViews>
  <sheetFormatPr defaultColWidth="8.85546875" defaultRowHeight="15.75" x14ac:dyDescent="0.25"/>
  <cols>
    <col min="1" max="1" width="6.7109375" style="54" bestFit="1" customWidth="1"/>
    <col min="2" max="2" width="12" style="54" customWidth="1"/>
    <col min="3" max="3" width="11.140625" style="54" customWidth="1"/>
    <col min="4" max="4" width="58" style="54" customWidth="1"/>
    <col min="5" max="5" width="6" style="54" bestFit="1" customWidth="1"/>
    <col min="6" max="6" width="12.7109375" style="54" customWidth="1"/>
    <col min="7" max="7" width="14.7109375" style="54" customWidth="1"/>
    <col min="8" max="8" width="14.7109375" style="56" customWidth="1"/>
    <col min="9" max="9" width="15.7109375" style="56" customWidth="1"/>
    <col min="10" max="10" width="1.7109375" style="54" customWidth="1"/>
    <col min="11" max="11" width="15.7109375" style="54" bestFit="1" customWidth="1"/>
    <col min="12" max="12" width="11.28515625" style="54" bestFit="1" customWidth="1"/>
    <col min="13" max="16384" width="8.85546875" style="54"/>
  </cols>
  <sheetData>
    <row r="1" spans="1:11" x14ac:dyDescent="0.25">
      <c r="A1" s="1"/>
      <c r="B1" s="1"/>
      <c r="C1" s="1"/>
      <c r="D1" s="1"/>
      <c r="E1" s="1"/>
      <c r="F1" s="177" t="s">
        <v>118</v>
      </c>
      <c r="G1" s="177"/>
      <c r="H1" s="177"/>
      <c r="I1" s="177"/>
    </row>
    <row r="2" spans="1:11" x14ac:dyDescent="0.25">
      <c r="A2" s="1"/>
      <c r="B2" s="1"/>
      <c r="C2" s="1"/>
      <c r="D2" s="1"/>
      <c r="E2" s="1"/>
      <c r="F2" s="177"/>
      <c r="G2" s="177"/>
      <c r="H2" s="177"/>
      <c r="I2" s="177"/>
    </row>
    <row r="3" spans="1:11" x14ac:dyDescent="0.25">
      <c r="A3" s="1"/>
      <c r="B3" s="2"/>
      <c r="C3" s="2"/>
      <c r="D3" s="2"/>
      <c r="E3" s="2"/>
      <c r="F3" s="177"/>
      <c r="G3" s="177"/>
      <c r="H3" s="177"/>
      <c r="I3" s="177"/>
    </row>
    <row r="4" spans="1:11" x14ac:dyDescent="0.25">
      <c r="A4" s="1"/>
      <c r="B4" s="2"/>
      <c r="C4" s="2"/>
      <c r="D4" s="2"/>
      <c r="E4" s="2"/>
      <c r="F4" s="177"/>
      <c r="G4" s="177"/>
      <c r="H4" s="177"/>
      <c r="I4" s="177"/>
    </row>
    <row r="5" spans="1:11" x14ac:dyDescent="0.25">
      <c r="A5" s="1"/>
      <c r="B5" s="2"/>
      <c r="C5" s="2"/>
      <c r="D5" s="2"/>
      <c r="E5" s="2"/>
      <c r="F5" s="177"/>
      <c r="G5" s="177"/>
      <c r="H5" s="177"/>
      <c r="I5" s="177"/>
    </row>
    <row r="6" spans="1:11" x14ac:dyDescent="0.25">
      <c r="A6" s="1"/>
      <c r="B6" s="2"/>
      <c r="C6" s="74"/>
      <c r="D6" s="74"/>
      <c r="E6" s="74"/>
      <c r="F6" s="178"/>
      <c r="G6" s="178"/>
      <c r="H6" s="178"/>
      <c r="I6" s="178"/>
    </row>
    <row r="7" spans="1:11" s="4" customFormat="1" x14ac:dyDescent="0.25">
      <c r="A7" s="169" t="s">
        <v>194</v>
      </c>
      <c r="B7" s="170"/>
      <c r="C7" s="173" t="s">
        <v>223</v>
      </c>
      <c r="D7" s="173"/>
      <c r="E7" s="173"/>
      <c r="F7" s="174"/>
      <c r="G7" s="3" t="s">
        <v>7</v>
      </c>
      <c r="H7" s="44">
        <v>45901</v>
      </c>
      <c r="I7" s="45" t="s">
        <v>140</v>
      </c>
    </row>
    <row r="8" spans="1:11" s="4" customFormat="1" ht="16.5" thickBot="1" x14ac:dyDescent="0.3">
      <c r="A8" s="171" t="s">
        <v>269</v>
      </c>
      <c r="B8" s="172"/>
      <c r="C8" s="175" t="s">
        <v>268</v>
      </c>
      <c r="D8" s="175"/>
      <c r="E8" s="175"/>
      <c r="F8" s="176"/>
      <c r="G8" s="31" t="s">
        <v>6</v>
      </c>
      <c r="H8" s="46">
        <v>0.19600000000000001</v>
      </c>
      <c r="I8" s="47" t="s">
        <v>236</v>
      </c>
    </row>
    <row r="9" spans="1:11" s="4" customFormat="1" ht="17.25" thickTop="1" thickBot="1" x14ac:dyDescent="0.3">
      <c r="A9" s="39" t="s">
        <v>0</v>
      </c>
      <c r="B9" s="40" t="s">
        <v>1</v>
      </c>
      <c r="C9" s="40" t="s">
        <v>2</v>
      </c>
      <c r="D9" s="40" t="s">
        <v>3</v>
      </c>
      <c r="E9" s="40" t="s">
        <v>16</v>
      </c>
      <c r="F9" s="41" t="s">
        <v>17</v>
      </c>
      <c r="G9" s="41" t="s">
        <v>4</v>
      </c>
      <c r="H9" s="42" t="s">
        <v>20</v>
      </c>
      <c r="I9" s="43" t="s">
        <v>5</v>
      </c>
      <c r="K9" s="58"/>
    </row>
    <row r="10" spans="1:11" ht="16.5" thickTop="1" x14ac:dyDescent="0.25">
      <c r="A10" s="32"/>
      <c r="B10" s="33"/>
      <c r="C10" s="34"/>
      <c r="D10" s="34" t="s">
        <v>223</v>
      </c>
      <c r="E10" s="35"/>
      <c r="F10" s="36"/>
      <c r="G10" s="37"/>
      <c r="H10" s="144" t="s">
        <v>31</v>
      </c>
      <c r="I10" s="38">
        <f>SUM(I11,I18,I24,I33,I47)</f>
        <v>48976.78</v>
      </c>
      <c r="K10" s="58"/>
    </row>
    <row r="11" spans="1:11" x14ac:dyDescent="0.25">
      <c r="A11" s="5">
        <v>1</v>
      </c>
      <c r="B11" s="6"/>
      <c r="C11" s="7"/>
      <c r="D11" s="7" t="s">
        <v>27</v>
      </c>
      <c r="E11" s="8"/>
      <c r="F11" s="9"/>
      <c r="G11" s="9"/>
      <c r="H11" s="10"/>
      <c r="I11" s="11">
        <f>SUM(I12:I17)</f>
        <v>416.89000000000004</v>
      </c>
      <c r="K11" s="57"/>
    </row>
    <row r="12" spans="1:11" x14ac:dyDescent="0.25">
      <c r="A12" s="20" t="s">
        <v>8</v>
      </c>
      <c r="B12" s="21" t="s">
        <v>28</v>
      </c>
      <c r="C12" s="22" t="s">
        <v>44</v>
      </c>
      <c r="D12" s="23" t="s">
        <v>45</v>
      </c>
      <c r="E12" s="21" t="s">
        <v>32</v>
      </c>
      <c r="F12" s="24">
        <v>1</v>
      </c>
      <c r="G12" s="30">
        <v>49.68</v>
      </c>
      <c r="H12" s="49">
        <f>ROUND(G12*(1+$H$8),2)</f>
        <v>59.42</v>
      </c>
      <c r="I12" s="50">
        <f>ROUND(H12*F12,2)</f>
        <v>59.42</v>
      </c>
    </row>
    <row r="13" spans="1:11" x14ac:dyDescent="0.25">
      <c r="A13" s="20" t="s">
        <v>151</v>
      </c>
      <c r="B13" s="21" t="s">
        <v>28</v>
      </c>
      <c r="C13" s="22" t="s">
        <v>46</v>
      </c>
      <c r="D13" s="23" t="s">
        <v>47</v>
      </c>
      <c r="E13" s="21" t="s">
        <v>32</v>
      </c>
      <c r="F13" s="24">
        <v>1</v>
      </c>
      <c r="G13" s="30">
        <v>8.61</v>
      </c>
      <c r="H13" s="49">
        <f>ROUND(G13*(1+$H$8),2)</f>
        <v>10.3</v>
      </c>
      <c r="I13" s="50">
        <f>ROUND(H13*F13,2)</f>
        <v>10.3</v>
      </c>
    </row>
    <row r="14" spans="1:11" ht="31.5" x14ac:dyDescent="0.25">
      <c r="A14" s="20" t="s">
        <v>161</v>
      </c>
      <c r="B14" s="21" t="s">
        <v>28</v>
      </c>
      <c r="C14" s="22" t="s">
        <v>40</v>
      </c>
      <c r="D14" s="23" t="s">
        <v>41</v>
      </c>
      <c r="E14" s="21" t="s">
        <v>33</v>
      </c>
      <c r="F14" s="24">
        <v>13.92</v>
      </c>
      <c r="G14" s="30">
        <v>13.63</v>
      </c>
      <c r="H14" s="49">
        <f t="shared" ref="H14:H17" si="0">ROUND(G14*(1+$H$8),2)</f>
        <v>16.3</v>
      </c>
      <c r="I14" s="50">
        <f t="shared" ref="I14:I17" si="1">ROUND(H14*F14,2)</f>
        <v>226.9</v>
      </c>
    </row>
    <row r="15" spans="1:11" x14ac:dyDescent="0.25">
      <c r="A15" s="20" t="s">
        <v>166</v>
      </c>
      <c r="B15" s="21" t="s">
        <v>28</v>
      </c>
      <c r="C15" s="22" t="s">
        <v>38</v>
      </c>
      <c r="D15" s="23" t="s">
        <v>39</v>
      </c>
      <c r="E15" s="21" t="s">
        <v>33</v>
      </c>
      <c r="F15" s="24">
        <v>4.0500000000000007</v>
      </c>
      <c r="G15" s="30">
        <v>11.36</v>
      </c>
      <c r="H15" s="49">
        <f t="shared" si="0"/>
        <v>13.59</v>
      </c>
      <c r="I15" s="50">
        <f t="shared" si="1"/>
        <v>55.04</v>
      </c>
    </row>
    <row r="16" spans="1:11" x14ac:dyDescent="0.25">
      <c r="A16" s="20" t="s">
        <v>245</v>
      </c>
      <c r="B16" s="21" t="s">
        <v>28</v>
      </c>
      <c r="C16" s="22" t="s">
        <v>36</v>
      </c>
      <c r="D16" s="23" t="s">
        <v>37</v>
      </c>
      <c r="E16" s="21" t="s">
        <v>35</v>
      </c>
      <c r="F16" s="24">
        <v>0.20250000000000004</v>
      </c>
      <c r="G16" s="30">
        <v>249.81</v>
      </c>
      <c r="H16" s="49">
        <f t="shared" si="0"/>
        <v>298.77</v>
      </c>
      <c r="I16" s="50">
        <f t="shared" si="1"/>
        <v>60.5</v>
      </c>
    </row>
    <row r="17" spans="1:9" ht="31.5" x14ac:dyDescent="0.25">
      <c r="A17" s="20" t="s">
        <v>246</v>
      </c>
      <c r="B17" s="21" t="s">
        <v>28</v>
      </c>
      <c r="C17" s="22" t="s">
        <v>51</v>
      </c>
      <c r="D17" s="23" t="s">
        <v>52</v>
      </c>
      <c r="E17" s="21" t="s">
        <v>35</v>
      </c>
      <c r="F17" s="24">
        <v>0.40500000000000008</v>
      </c>
      <c r="G17" s="30">
        <v>9.77</v>
      </c>
      <c r="H17" s="49">
        <f t="shared" si="0"/>
        <v>11.68</v>
      </c>
      <c r="I17" s="50">
        <f t="shared" si="1"/>
        <v>4.7300000000000004</v>
      </c>
    </row>
    <row r="18" spans="1:9" x14ac:dyDescent="0.25">
      <c r="A18" s="5">
        <v>2</v>
      </c>
      <c r="B18" s="6"/>
      <c r="C18" s="7"/>
      <c r="D18" s="7" t="s">
        <v>225</v>
      </c>
      <c r="E18" s="8"/>
      <c r="F18" s="8"/>
      <c r="G18" s="9"/>
      <c r="H18" s="12"/>
      <c r="I18" s="11">
        <f>SUM(I19:I23)</f>
        <v>4316.7000000000007</v>
      </c>
    </row>
    <row r="19" spans="1:9" ht="31.5" x14ac:dyDescent="0.25">
      <c r="A19" s="20" t="s">
        <v>9</v>
      </c>
      <c r="B19" s="21" t="s">
        <v>28</v>
      </c>
      <c r="C19" s="22" t="s">
        <v>68</v>
      </c>
      <c r="D19" s="23" t="s">
        <v>69</v>
      </c>
      <c r="E19" s="21" t="s">
        <v>35</v>
      </c>
      <c r="F19" s="24">
        <v>0.20250000000000004</v>
      </c>
      <c r="G19" s="30">
        <v>1039.77</v>
      </c>
      <c r="H19" s="49">
        <f>ROUND(G19*(1+$H$8),2)</f>
        <v>1243.56</v>
      </c>
      <c r="I19" s="50">
        <f>ROUND(H19*F19,2)</f>
        <v>251.82</v>
      </c>
    </row>
    <row r="20" spans="1:9" ht="31.5" x14ac:dyDescent="0.25">
      <c r="A20" s="20" t="s">
        <v>21</v>
      </c>
      <c r="B20" s="21" t="s">
        <v>28</v>
      </c>
      <c r="C20" s="22" t="s">
        <v>70</v>
      </c>
      <c r="D20" s="23" t="s">
        <v>71</v>
      </c>
      <c r="E20" s="21" t="s">
        <v>33</v>
      </c>
      <c r="F20" s="24">
        <v>4.0500000000000007</v>
      </c>
      <c r="G20" s="30">
        <v>84.12</v>
      </c>
      <c r="H20" s="49">
        <f>ROUND(G20*(1+$H$8),2)</f>
        <v>100.61</v>
      </c>
      <c r="I20" s="50">
        <f>ROUND(H20*F20,2)</f>
        <v>407.47</v>
      </c>
    </row>
    <row r="21" spans="1:9" x14ac:dyDescent="0.25">
      <c r="A21" s="20" t="s">
        <v>226</v>
      </c>
      <c r="B21" s="21" t="s">
        <v>28</v>
      </c>
      <c r="C21" s="25" t="s">
        <v>64</v>
      </c>
      <c r="D21" s="23" t="s">
        <v>65</v>
      </c>
      <c r="E21" s="21" t="s">
        <v>33</v>
      </c>
      <c r="F21" s="24">
        <v>24.359999999999996</v>
      </c>
      <c r="G21" s="30">
        <v>7.64</v>
      </c>
      <c r="H21" s="49">
        <f t="shared" ref="H21:H32" si="2">ROUND(G21*(1+$H$8),2)</f>
        <v>9.14</v>
      </c>
      <c r="I21" s="50">
        <f t="shared" ref="I21:I32" si="3">ROUND(H21*F21,2)</f>
        <v>222.65</v>
      </c>
    </row>
    <row r="22" spans="1:9" x14ac:dyDescent="0.25">
      <c r="A22" s="20" t="s">
        <v>227</v>
      </c>
      <c r="B22" s="21" t="s">
        <v>28</v>
      </c>
      <c r="C22" s="25" t="s">
        <v>66</v>
      </c>
      <c r="D22" s="23" t="s">
        <v>67</v>
      </c>
      <c r="E22" s="21" t="s">
        <v>33</v>
      </c>
      <c r="F22" s="24">
        <v>24.359999999999996</v>
      </c>
      <c r="G22" s="30">
        <v>30.1</v>
      </c>
      <c r="H22" s="49">
        <f t="shared" si="2"/>
        <v>36</v>
      </c>
      <c r="I22" s="50">
        <f t="shared" si="3"/>
        <v>876.96</v>
      </c>
    </row>
    <row r="23" spans="1:9" ht="47.25" x14ac:dyDescent="0.25">
      <c r="A23" s="20" t="s">
        <v>228</v>
      </c>
      <c r="B23" s="21" t="s">
        <v>28</v>
      </c>
      <c r="C23" s="25" t="s">
        <v>72</v>
      </c>
      <c r="D23" s="23" t="s">
        <v>73</v>
      </c>
      <c r="E23" s="21" t="s">
        <v>33</v>
      </c>
      <c r="F23" s="24">
        <v>24.359999999999996</v>
      </c>
      <c r="G23" s="30">
        <v>87.79</v>
      </c>
      <c r="H23" s="49">
        <f t="shared" si="2"/>
        <v>105</v>
      </c>
      <c r="I23" s="50">
        <f t="shared" si="3"/>
        <v>2557.8000000000002</v>
      </c>
    </row>
    <row r="24" spans="1:9" x14ac:dyDescent="0.25">
      <c r="A24" s="5">
        <v>3</v>
      </c>
      <c r="B24" s="6"/>
      <c r="C24" s="7"/>
      <c r="D24" s="7" t="s">
        <v>224</v>
      </c>
      <c r="E24" s="8"/>
      <c r="F24" s="8"/>
      <c r="G24" s="9"/>
      <c r="H24" s="12"/>
      <c r="I24" s="11">
        <f>SUM(I25:I32)</f>
        <v>2504.2100000000005</v>
      </c>
    </row>
    <row r="25" spans="1:9" ht="31.5" x14ac:dyDescent="0.25">
      <c r="A25" s="20" t="s">
        <v>247</v>
      </c>
      <c r="B25" s="21" t="s">
        <v>28</v>
      </c>
      <c r="C25" s="25" t="s">
        <v>112</v>
      </c>
      <c r="D25" s="23" t="s">
        <v>113</v>
      </c>
      <c r="E25" s="21" t="s">
        <v>34</v>
      </c>
      <c r="F25" s="24">
        <v>3</v>
      </c>
      <c r="G25" s="30">
        <v>55.46</v>
      </c>
      <c r="H25" s="49">
        <f t="shared" si="2"/>
        <v>66.33</v>
      </c>
      <c r="I25" s="50">
        <f t="shared" ref="I25:I26" si="4">ROUND(H25*F25,2)</f>
        <v>198.99</v>
      </c>
    </row>
    <row r="26" spans="1:9" ht="47.25" x14ac:dyDescent="0.25">
      <c r="A26" s="20" t="s">
        <v>248</v>
      </c>
      <c r="B26" s="21" t="s">
        <v>28</v>
      </c>
      <c r="C26" s="25" t="s">
        <v>114</v>
      </c>
      <c r="D26" s="23" t="s">
        <v>115</v>
      </c>
      <c r="E26" s="21" t="s">
        <v>34</v>
      </c>
      <c r="F26" s="24">
        <v>4</v>
      </c>
      <c r="G26" s="30">
        <v>117.5</v>
      </c>
      <c r="H26" s="49">
        <f t="shared" si="2"/>
        <v>140.53</v>
      </c>
      <c r="I26" s="50">
        <f t="shared" si="4"/>
        <v>562.12</v>
      </c>
    </row>
    <row r="27" spans="1:9" ht="31.5" x14ac:dyDescent="0.25">
      <c r="A27" s="20" t="s">
        <v>249</v>
      </c>
      <c r="B27" s="21" t="s">
        <v>28</v>
      </c>
      <c r="C27" s="25" t="s">
        <v>116</v>
      </c>
      <c r="D27" s="23" t="s">
        <v>117</v>
      </c>
      <c r="E27" s="21" t="s">
        <v>32</v>
      </c>
      <c r="F27" s="24">
        <v>2</v>
      </c>
      <c r="G27" s="30">
        <v>105.06</v>
      </c>
      <c r="H27" s="49">
        <f>ROUND(G27*(1+$H$8),2)</f>
        <v>125.65</v>
      </c>
      <c r="I27" s="50">
        <f>ROUND(H27*F27,2)</f>
        <v>251.3</v>
      </c>
    </row>
    <row r="28" spans="1:9" x14ac:dyDescent="0.25">
      <c r="A28" s="20" t="s">
        <v>250</v>
      </c>
      <c r="B28" s="21" t="s">
        <v>28</v>
      </c>
      <c r="C28" s="25" t="s">
        <v>102</v>
      </c>
      <c r="D28" s="23" t="s">
        <v>103</v>
      </c>
      <c r="E28" s="21" t="s">
        <v>32</v>
      </c>
      <c r="F28" s="24">
        <v>1</v>
      </c>
      <c r="G28" s="30">
        <v>358.44</v>
      </c>
      <c r="H28" s="49">
        <f t="shared" si="2"/>
        <v>428.69</v>
      </c>
      <c r="I28" s="50">
        <f t="shared" si="3"/>
        <v>428.69</v>
      </c>
    </row>
    <row r="29" spans="1:9" x14ac:dyDescent="0.25">
      <c r="A29" s="20" t="s">
        <v>251</v>
      </c>
      <c r="B29" s="21" t="s">
        <v>28</v>
      </c>
      <c r="C29" s="25" t="s">
        <v>104</v>
      </c>
      <c r="D29" s="23" t="s">
        <v>105</v>
      </c>
      <c r="E29" s="21" t="s">
        <v>32</v>
      </c>
      <c r="F29" s="24">
        <v>1</v>
      </c>
      <c r="G29" s="30">
        <v>607.48</v>
      </c>
      <c r="H29" s="49">
        <f t="shared" si="2"/>
        <v>726.55</v>
      </c>
      <c r="I29" s="50">
        <f t="shared" si="3"/>
        <v>726.55</v>
      </c>
    </row>
    <row r="30" spans="1:9" ht="31.5" x14ac:dyDescent="0.25">
      <c r="A30" s="20" t="s">
        <v>252</v>
      </c>
      <c r="B30" s="21" t="s">
        <v>28</v>
      </c>
      <c r="C30" s="25" t="s">
        <v>106</v>
      </c>
      <c r="D30" s="23" t="s">
        <v>107</v>
      </c>
      <c r="E30" s="21" t="s">
        <v>32</v>
      </c>
      <c r="F30" s="24">
        <v>1</v>
      </c>
      <c r="G30" s="30">
        <v>217.05</v>
      </c>
      <c r="H30" s="49">
        <f t="shared" si="2"/>
        <v>259.58999999999997</v>
      </c>
      <c r="I30" s="50">
        <f t="shared" si="3"/>
        <v>259.58999999999997</v>
      </c>
    </row>
    <row r="31" spans="1:9" x14ac:dyDescent="0.25">
      <c r="A31" s="20" t="s">
        <v>253</v>
      </c>
      <c r="B31" s="21" t="s">
        <v>28</v>
      </c>
      <c r="C31" s="25" t="s">
        <v>108</v>
      </c>
      <c r="D31" s="23" t="s">
        <v>109</v>
      </c>
      <c r="E31" s="21" t="s">
        <v>32</v>
      </c>
      <c r="F31" s="24">
        <v>1</v>
      </c>
      <c r="G31" s="30">
        <v>31.53</v>
      </c>
      <c r="H31" s="49">
        <f t="shared" si="2"/>
        <v>37.71</v>
      </c>
      <c r="I31" s="50">
        <f t="shared" si="3"/>
        <v>37.71</v>
      </c>
    </row>
    <row r="32" spans="1:9" x14ac:dyDescent="0.25">
      <c r="A32" s="20" t="s">
        <v>254</v>
      </c>
      <c r="B32" s="21" t="s">
        <v>28</v>
      </c>
      <c r="C32" s="25" t="s">
        <v>110</v>
      </c>
      <c r="D32" s="23" t="s">
        <v>111</v>
      </c>
      <c r="E32" s="21" t="s">
        <v>32</v>
      </c>
      <c r="F32" s="24">
        <v>1</v>
      </c>
      <c r="G32" s="30">
        <v>32.83</v>
      </c>
      <c r="H32" s="49">
        <f t="shared" si="2"/>
        <v>39.26</v>
      </c>
      <c r="I32" s="50">
        <f t="shared" si="3"/>
        <v>39.26</v>
      </c>
    </row>
    <row r="33" spans="1:9" x14ac:dyDescent="0.25">
      <c r="A33" s="5">
        <v>4</v>
      </c>
      <c r="B33" s="6"/>
      <c r="C33" s="7"/>
      <c r="D33" s="7" t="s">
        <v>76</v>
      </c>
      <c r="E33" s="8"/>
      <c r="F33" s="8"/>
      <c r="G33" s="9"/>
      <c r="H33" s="12"/>
      <c r="I33" s="11">
        <f>SUM(I34,I39,I41,I43,I45)</f>
        <v>24280.679999999997</v>
      </c>
    </row>
    <row r="34" spans="1:9" s="112" customFormat="1" x14ac:dyDescent="0.25">
      <c r="A34" s="138" t="s">
        <v>255</v>
      </c>
      <c r="B34" s="139"/>
      <c r="C34" s="140"/>
      <c r="D34" s="140" t="s">
        <v>229</v>
      </c>
      <c r="E34" s="141"/>
      <c r="F34" s="141"/>
      <c r="G34" s="142"/>
      <c r="H34" s="142"/>
      <c r="I34" s="143">
        <f>SUM(I35:I38)</f>
        <v>17165.599999999999</v>
      </c>
    </row>
    <row r="35" spans="1:9" x14ac:dyDescent="0.25">
      <c r="A35" s="20" t="s">
        <v>258</v>
      </c>
      <c r="B35" s="21" t="s">
        <v>28</v>
      </c>
      <c r="C35" s="25" t="s">
        <v>77</v>
      </c>
      <c r="D35" s="23" t="s">
        <v>78</v>
      </c>
      <c r="E35" s="21" t="s">
        <v>33</v>
      </c>
      <c r="F35" s="24">
        <v>12.88</v>
      </c>
      <c r="G35" s="30">
        <v>16.45</v>
      </c>
      <c r="H35" s="49">
        <f>ROUND(G35*(1+$H$8),2)</f>
        <v>19.670000000000002</v>
      </c>
      <c r="I35" s="50">
        <f t="shared" ref="I35" si="5">ROUND(H35*F35,2)</f>
        <v>253.35</v>
      </c>
    </row>
    <row r="36" spans="1:9" x14ac:dyDescent="0.25">
      <c r="A36" s="20" t="s">
        <v>259</v>
      </c>
      <c r="B36" s="21" t="s">
        <v>28</v>
      </c>
      <c r="C36" s="25" t="s">
        <v>81</v>
      </c>
      <c r="D36" s="23" t="s">
        <v>82</v>
      </c>
      <c r="E36" s="21" t="s">
        <v>33</v>
      </c>
      <c r="F36" s="24">
        <v>87.025500000000008</v>
      </c>
      <c r="G36" s="30">
        <v>32.89</v>
      </c>
      <c r="H36" s="49">
        <f>ROUND(G36*(1+$H$8),2)</f>
        <v>39.340000000000003</v>
      </c>
      <c r="I36" s="50">
        <f t="shared" ref="I36:I44" si="6">ROUND(H36*F36,2)</f>
        <v>3423.58</v>
      </c>
    </row>
    <row r="37" spans="1:9" x14ac:dyDescent="0.25">
      <c r="A37" s="20" t="s">
        <v>260</v>
      </c>
      <c r="B37" s="21" t="s">
        <v>28</v>
      </c>
      <c r="C37" s="25" t="s">
        <v>85</v>
      </c>
      <c r="D37" s="23" t="s">
        <v>86</v>
      </c>
      <c r="E37" s="21" t="s">
        <v>33</v>
      </c>
      <c r="F37" s="24">
        <v>180.416</v>
      </c>
      <c r="G37" s="30">
        <v>35.78</v>
      </c>
      <c r="H37" s="49">
        <f>ROUND(G37*(1+$H$8),2)</f>
        <v>42.79</v>
      </c>
      <c r="I37" s="50">
        <f t="shared" si="6"/>
        <v>7720</v>
      </c>
    </row>
    <row r="38" spans="1:9" x14ac:dyDescent="0.25">
      <c r="A38" s="20" t="s">
        <v>261</v>
      </c>
      <c r="B38" s="21" t="s">
        <v>28</v>
      </c>
      <c r="C38" s="25" t="s">
        <v>83</v>
      </c>
      <c r="D38" s="23" t="s">
        <v>84</v>
      </c>
      <c r="E38" s="21" t="s">
        <v>33</v>
      </c>
      <c r="F38" s="24">
        <v>125.92599999999997</v>
      </c>
      <c r="G38" s="30">
        <v>38.299999999999997</v>
      </c>
      <c r="H38" s="49">
        <f>ROUND(G38*(1+$H$8),2)</f>
        <v>45.81</v>
      </c>
      <c r="I38" s="50">
        <f t="shared" ref="I38" si="7">ROUND(H38*F38,2)</f>
        <v>5768.67</v>
      </c>
    </row>
    <row r="39" spans="1:9" s="112" customFormat="1" x14ac:dyDescent="0.25">
      <c r="A39" s="138" t="s">
        <v>256</v>
      </c>
      <c r="B39" s="139"/>
      <c r="C39" s="140"/>
      <c r="D39" s="140" t="s">
        <v>230</v>
      </c>
      <c r="E39" s="141"/>
      <c r="F39" s="141"/>
      <c r="G39" s="142"/>
      <c r="H39" s="142"/>
      <c r="I39" s="143">
        <f>SUM(I40)</f>
        <v>5668.61</v>
      </c>
    </row>
    <row r="40" spans="1:9" x14ac:dyDescent="0.25">
      <c r="A40" s="20" t="s">
        <v>262</v>
      </c>
      <c r="B40" s="21" t="s">
        <v>28</v>
      </c>
      <c r="C40" s="25" t="s">
        <v>85</v>
      </c>
      <c r="D40" s="23" t="s">
        <v>86</v>
      </c>
      <c r="E40" s="21" t="s">
        <v>33</v>
      </c>
      <c r="F40" s="24">
        <v>132.47500000000002</v>
      </c>
      <c r="G40" s="30">
        <v>35.78</v>
      </c>
      <c r="H40" s="49">
        <f>ROUND(G40*(1+$H$8),2)</f>
        <v>42.79</v>
      </c>
      <c r="I40" s="50">
        <f t="shared" si="6"/>
        <v>5668.61</v>
      </c>
    </row>
    <row r="41" spans="1:9" s="112" customFormat="1" x14ac:dyDescent="0.25">
      <c r="A41" s="138" t="s">
        <v>257</v>
      </c>
      <c r="B41" s="139"/>
      <c r="C41" s="140"/>
      <c r="D41" s="140" t="s">
        <v>231</v>
      </c>
      <c r="E41" s="141"/>
      <c r="F41" s="141"/>
      <c r="G41" s="142"/>
      <c r="H41" s="142"/>
      <c r="I41" s="143">
        <f>SUM(I42)</f>
        <v>124.14</v>
      </c>
    </row>
    <row r="42" spans="1:9" ht="31.5" x14ac:dyDescent="0.25">
      <c r="A42" s="20" t="s">
        <v>263</v>
      </c>
      <c r="B42" s="21" t="s">
        <v>28</v>
      </c>
      <c r="C42" s="25" t="s">
        <v>87</v>
      </c>
      <c r="D42" s="23" t="s">
        <v>88</v>
      </c>
      <c r="E42" s="21" t="s">
        <v>33</v>
      </c>
      <c r="F42" s="24">
        <v>2</v>
      </c>
      <c r="G42" s="30">
        <v>51.9</v>
      </c>
      <c r="H42" s="49">
        <f>ROUND(G42*(1+$H$8),2)</f>
        <v>62.07</v>
      </c>
      <c r="I42" s="50">
        <f t="shared" si="6"/>
        <v>124.14</v>
      </c>
    </row>
    <row r="43" spans="1:9" s="112" customFormat="1" x14ac:dyDescent="0.25">
      <c r="A43" s="138" t="s">
        <v>264</v>
      </c>
      <c r="B43" s="139"/>
      <c r="C43" s="140"/>
      <c r="D43" s="140" t="s">
        <v>232</v>
      </c>
      <c r="E43" s="141"/>
      <c r="F43" s="141"/>
      <c r="G43" s="142"/>
      <c r="H43" s="142"/>
      <c r="I43" s="143">
        <f>SUM(I44)</f>
        <v>1240.1600000000001</v>
      </c>
    </row>
    <row r="44" spans="1:9" ht="31.5" x14ac:dyDescent="0.25">
      <c r="A44" s="20" t="s">
        <v>265</v>
      </c>
      <c r="B44" s="21" t="s">
        <v>28</v>
      </c>
      <c r="C44" s="25" t="s">
        <v>87</v>
      </c>
      <c r="D44" s="23" t="s">
        <v>88</v>
      </c>
      <c r="E44" s="21" t="s">
        <v>33</v>
      </c>
      <c r="F44" s="24">
        <v>19.98</v>
      </c>
      <c r="G44" s="30">
        <v>51.9</v>
      </c>
      <c r="H44" s="49">
        <f>ROUND(G44*(1+$H$8),2)</f>
        <v>62.07</v>
      </c>
      <c r="I44" s="50">
        <f t="shared" si="6"/>
        <v>1240.1600000000001</v>
      </c>
    </row>
    <row r="45" spans="1:9" s="112" customFormat="1" x14ac:dyDescent="0.25">
      <c r="A45" s="138" t="s">
        <v>266</v>
      </c>
      <c r="B45" s="139"/>
      <c r="C45" s="140"/>
      <c r="D45" s="140" t="s">
        <v>233</v>
      </c>
      <c r="E45" s="141"/>
      <c r="F45" s="141"/>
      <c r="G45" s="142"/>
      <c r="H45" s="142"/>
      <c r="I45" s="143">
        <f>SUM(I46)</f>
        <v>82.17</v>
      </c>
    </row>
    <row r="46" spans="1:9" ht="47.25" x14ac:dyDescent="0.25">
      <c r="A46" s="20" t="s">
        <v>267</v>
      </c>
      <c r="B46" s="21" t="s">
        <v>30</v>
      </c>
      <c r="C46" s="25">
        <v>102513</v>
      </c>
      <c r="D46" s="23" t="s">
        <v>234</v>
      </c>
      <c r="E46" s="21" t="s">
        <v>33</v>
      </c>
      <c r="F46" s="24">
        <v>1.1309400000000001</v>
      </c>
      <c r="G46" s="137">
        <v>60.75</v>
      </c>
      <c r="H46" s="49">
        <f t="shared" ref="H46" si="8">ROUND(G46*(1+$H$8),2)</f>
        <v>72.66</v>
      </c>
      <c r="I46" s="50">
        <f t="shared" ref="I46" si="9">ROUND(H46*F46,2)</f>
        <v>82.17</v>
      </c>
    </row>
    <row r="47" spans="1:9" x14ac:dyDescent="0.25">
      <c r="A47" s="5">
        <v>5</v>
      </c>
      <c r="B47" s="6"/>
      <c r="C47" s="7"/>
      <c r="D47" s="7" t="s">
        <v>237</v>
      </c>
      <c r="E47" s="8"/>
      <c r="F47" s="8"/>
      <c r="G47" s="9"/>
      <c r="H47" s="12"/>
      <c r="I47" s="11">
        <f>SUM(I48:I57)</f>
        <v>17458.300000000003</v>
      </c>
    </row>
    <row r="48" spans="1:9" ht="47.25" x14ac:dyDescent="0.25">
      <c r="A48" s="20" t="s">
        <v>238</v>
      </c>
      <c r="B48" s="21" t="s">
        <v>30</v>
      </c>
      <c r="C48" s="25">
        <v>100328</v>
      </c>
      <c r="D48" s="23" t="s">
        <v>235</v>
      </c>
      <c r="E48" s="21" t="s">
        <v>33</v>
      </c>
      <c r="F48" s="24">
        <v>113.16</v>
      </c>
      <c r="G48" s="137">
        <v>22.78</v>
      </c>
      <c r="H48" s="49">
        <f>ROUND(G48*(1+$H$8),2)</f>
        <v>27.24</v>
      </c>
      <c r="I48" s="50">
        <f>ROUND(H48*F48,2)</f>
        <v>3082.48</v>
      </c>
    </row>
    <row r="49" spans="1:11" ht="31.5" x14ac:dyDescent="0.25">
      <c r="A49" s="20" t="s">
        <v>239</v>
      </c>
      <c r="B49" s="21" t="s">
        <v>28</v>
      </c>
      <c r="C49" s="25" t="s">
        <v>42</v>
      </c>
      <c r="D49" s="23" t="s">
        <v>43</v>
      </c>
      <c r="E49" s="21" t="s">
        <v>34</v>
      </c>
      <c r="F49" s="24">
        <v>245.6</v>
      </c>
      <c r="G49" s="30">
        <v>1.51</v>
      </c>
      <c r="H49" s="49">
        <f t="shared" ref="H49:H56" si="10">ROUND(G49*(1+$H$8),2)</f>
        <v>1.81</v>
      </c>
      <c r="I49" s="50">
        <f t="shared" ref="I49" si="11">ROUND(H49*F49,2)</f>
        <v>444.54</v>
      </c>
    </row>
    <row r="50" spans="1:11" x14ac:dyDescent="0.25">
      <c r="A50" s="20" t="s">
        <v>240</v>
      </c>
      <c r="B50" s="21" t="s">
        <v>28</v>
      </c>
      <c r="C50" s="25" t="s">
        <v>54</v>
      </c>
      <c r="D50" s="23" t="s">
        <v>55</v>
      </c>
      <c r="E50" s="21" t="s">
        <v>35</v>
      </c>
      <c r="F50" s="24">
        <v>1.0436800000000002</v>
      </c>
      <c r="G50" s="30">
        <v>5737.55</v>
      </c>
      <c r="H50" s="49">
        <f>ROUND(G50*(1+$H$8),2)</f>
        <v>6862.11</v>
      </c>
      <c r="I50" s="50">
        <f>ROUND(H50*F50,2)</f>
        <v>7161.85</v>
      </c>
    </row>
    <row r="51" spans="1:11" x14ac:dyDescent="0.25">
      <c r="A51" s="20" t="s">
        <v>241</v>
      </c>
      <c r="B51" s="21" t="s">
        <v>28</v>
      </c>
      <c r="C51" s="25" t="s">
        <v>56</v>
      </c>
      <c r="D51" s="23" t="s">
        <v>57</v>
      </c>
      <c r="E51" s="21" t="s">
        <v>33</v>
      </c>
      <c r="F51" s="24">
        <v>40</v>
      </c>
      <c r="G51" s="30">
        <v>98.29</v>
      </c>
      <c r="H51" s="49">
        <f t="shared" si="10"/>
        <v>117.55</v>
      </c>
      <c r="I51" s="50">
        <f t="shared" ref="I51:I55" si="12">ROUND(H51*F51,2)</f>
        <v>4702</v>
      </c>
    </row>
    <row r="52" spans="1:11" s="112" customFormat="1" x14ac:dyDescent="0.25">
      <c r="A52" s="20" t="s">
        <v>242</v>
      </c>
      <c r="B52" s="154" t="s">
        <v>28</v>
      </c>
      <c r="C52" s="155" t="s">
        <v>48</v>
      </c>
      <c r="D52" s="156" t="s">
        <v>49</v>
      </c>
      <c r="E52" s="154" t="s">
        <v>34</v>
      </c>
      <c r="F52" s="157">
        <v>5</v>
      </c>
      <c r="G52" s="158">
        <v>5.22</v>
      </c>
      <c r="H52" s="159">
        <f t="shared" ref="H52:H53" si="13">ROUND(G52*(1+$H$8),2)</f>
        <v>6.24</v>
      </c>
      <c r="I52" s="160">
        <f t="shared" ref="I52:I53" si="14">ROUND(H52*F52,2)</f>
        <v>31.2</v>
      </c>
    </row>
    <row r="53" spans="1:11" s="112" customFormat="1" ht="31.5" x14ac:dyDescent="0.25">
      <c r="A53" s="20" t="s">
        <v>243</v>
      </c>
      <c r="B53" s="154" t="s">
        <v>28</v>
      </c>
      <c r="C53" s="155" t="s">
        <v>62</v>
      </c>
      <c r="D53" s="156" t="s">
        <v>63</v>
      </c>
      <c r="E53" s="154" t="s">
        <v>34</v>
      </c>
      <c r="F53" s="157">
        <v>5</v>
      </c>
      <c r="G53" s="158">
        <v>243.75</v>
      </c>
      <c r="H53" s="159">
        <f t="shared" si="13"/>
        <v>291.52999999999997</v>
      </c>
      <c r="I53" s="160">
        <f t="shared" si="14"/>
        <v>1457.65</v>
      </c>
    </row>
    <row r="54" spans="1:11" s="112" customFormat="1" ht="31.5" x14ac:dyDescent="0.25">
      <c r="A54" s="20" t="s">
        <v>244</v>
      </c>
      <c r="B54" s="154" t="s">
        <v>28</v>
      </c>
      <c r="C54" s="155" t="s">
        <v>60</v>
      </c>
      <c r="D54" s="156" t="s">
        <v>61</v>
      </c>
      <c r="E54" s="154" t="s">
        <v>34</v>
      </c>
      <c r="F54" s="157">
        <v>3</v>
      </c>
      <c r="G54" s="158">
        <v>161.25</v>
      </c>
      <c r="H54" s="159">
        <f t="shared" ref="H54" si="15">ROUND(G54*(1+$H$8),2)</f>
        <v>192.86</v>
      </c>
      <c r="I54" s="160">
        <f t="shared" ref="I54" si="16">ROUND(H54*F54,2)</f>
        <v>578.58000000000004</v>
      </c>
    </row>
    <row r="55" spans="1:11" s="153" customFormat="1" ht="31.5" hidden="1" x14ac:dyDescent="0.25">
      <c r="A55" s="145" t="s">
        <v>228</v>
      </c>
      <c r="B55" s="146" t="s">
        <v>28</v>
      </c>
      <c r="C55" s="147" t="s">
        <v>58</v>
      </c>
      <c r="D55" s="148" t="s">
        <v>59</v>
      </c>
      <c r="E55" s="146" t="s">
        <v>34</v>
      </c>
      <c r="F55" s="149"/>
      <c r="G55" s="150">
        <v>33.869999999999997</v>
      </c>
      <c r="H55" s="151">
        <f t="shared" si="10"/>
        <v>40.51</v>
      </c>
      <c r="I55" s="152">
        <f t="shared" si="12"/>
        <v>0</v>
      </c>
    </row>
    <row r="56" spans="1:11" s="153" customFormat="1" hidden="1" x14ac:dyDescent="0.25">
      <c r="A56" s="145" t="s">
        <v>228</v>
      </c>
      <c r="B56" s="146" t="s">
        <v>28</v>
      </c>
      <c r="C56" s="147" t="s">
        <v>74</v>
      </c>
      <c r="D56" s="148" t="s">
        <v>75</v>
      </c>
      <c r="E56" s="146" t="s">
        <v>34</v>
      </c>
      <c r="F56" s="149"/>
      <c r="G56" s="150">
        <v>42.41</v>
      </c>
      <c r="H56" s="151">
        <f t="shared" si="10"/>
        <v>50.72</v>
      </c>
      <c r="I56" s="152">
        <f t="shared" ref="I56" si="17">ROUND(H56*F56,2)</f>
        <v>0</v>
      </c>
    </row>
    <row r="57" spans="1:11" s="153" customFormat="1" hidden="1" x14ac:dyDescent="0.25">
      <c r="A57" s="145" t="s">
        <v>228</v>
      </c>
      <c r="B57" s="146" t="s">
        <v>28</v>
      </c>
      <c r="C57" s="147" t="s">
        <v>79</v>
      </c>
      <c r="D57" s="148" t="s">
        <v>80</v>
      </c>
      <c r="E57" s="146" t="s">
        <v>33</v>
      </c>
      <c r="F57" s="149"/>
      <c r="G57" s="150">
        <v>31.05</v>
      </c>
      <c r="H57" s="151">
        <f t="shared" ref="H57" si="18">ROUND(G57*(1+$H$8),2)</f>
        <v>37.14</v>
      </c>
      <c r="I57" s="152">
        <f t="shared" ref="I57" si="19">ROUND(H57*F57,2)</f>
        <v>0</v>
      </c>
    </row>
    <row r="58" spans="1:11" x14ac:dyDescent="0.25">
      <c r="A58" s="32"/>
      <c r="B58" s="33"/>
      <c r="C58" s="34"/>
      <c r="D58" s="34"/>
      <c r="E58" s="35"/>
      <c r="F58" s="36"/>
      <c r="G58" s="37"/>
      <c r="H58" s="144" t="s">
        <v>31</v>
      </c>
      <c r="I58" s="38">
        <f>I10</f>
        <v>48976.78</v>
      </c>
      <c r="K58" s="58"/>
    </row>
    <row r="59" spans="1:11" ht="6.4" customHeight="1" x14ac:dyDescent="0.25">
      <c r="A59" s="70"/>
      <c r="B59" s="70"/>
      <c r="C59" s="71"/>
      <c r="D59" s="72"/>
      <c r="E59" s="70"/>
      <c r="F59" s="73"/>
      <c r="G59" s="73"/>
      <c r="H59" s="73"/>
      <c r="I59" s="73"/>
    </row>
    <row r="74" spans="1:9" x14ac:dyDescent="0.25">
      <c r="A74" s="26"/>
      <c r="B74" s="26"/>
      <c r="C74" s="26"/>
      <c r="D74" s="26"/>
      <c r="E74" s="26"/>
      <c r="F74" s="26"/>
      <c r="G74" s="26"/>
      <c r="H74" s="48"/>
      <c r="I74" s="48"/>
    </row>
  </sheetData>
  <mergeCells count="5">
    <mergeCell ref="A7:B7"/>
    <mergeCell ref="A8:B8"/>
    <mergeCell ref="C7:F7"/>
    <mergeCell ref="C8:F8"/>
    <mergeCell ref="F1:I6"/>
  </mergeCells>
  <phoneticPr fontId="3" type="noConversion"/>
  <conditionalFormatting sqref="F12:F17 F19:F23 F25:F32 F40 F48:F57">
    <cfRule type="containsBlanks" dxfId="15" priority="20">
      <formula>LEN(TRIM(F12))=0</formula>
    </cfRule>
  </conditionalFormatting>
  <conditionalFormatting sqref="F35:F38 F42 F44">
    <cfRule type="containsBlanks" dxfId="14" priority="11">
      <formula>LEN(TRIM(F35))=0</formula>
    </cfRule>
  </conditionalFormatting>
  <conditionalFormatting sqref="F46:G46">
    <cfRule type="containsBlanks" dxfId="13" priority="2">
      <formula>LEN(TRIM(F46))=0</formula>
    </cfRule>
  </conditionalFormatting>
  <conditionalFormatting sqref="G48">
    <cfRule type="containsBlanks" dxfId="12" priority="1">
      <formula>LEN(TRIM(G48))=0</formula>
    </cfRule>
  </conditionalFormatting>
  <printOptions horizontalCentered="1"/>
  <pageMargins left="0.31496062992125984" right="0.31496062992125984" top="0.59055118110236227" bottom="0.47244094488188981" header="0" footer="0"/>
  <pageSetup paperSize="9" scale="92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J24"/>
  <sheetViews>
    <sheetView tabSelected="1" topLeftCell="A43" zoomScaleNormal="100" workbookViewId="0">
      <selection activeCell="L7" sqref="L7"/>
    </sheetView>
  </sheetViews>
  <sheetFormatPr defaultColWidth="8.85546875" defaultRowHeight="15.75" x14ac:dyDescent="0.25"/>
  <cols>
    <col min="1" max="1" width="5.85546875" style="79" customWidth="1"/>
    <col min="2" max="2" width="37.140625" style="79" customWidth="1"/>
    <col min="3" max="3" width="15.85546875" style="79" bestFit="1" customWidth="1"/>
    <col min="4" max="4" width="7.28515625" style="79" bestFit="1" customWidth="1"/>
    <col min="5" max="5" width="15.28515625" style="79" bestFit="1" customWidth="1"/>
    <col min="6" max="6" width="8.140625" style="79" bestFit="1" customWidth="1"/>
    <col min="7" max="7" width="15.85546875" style="79" bestFit="1" customWidth="1"/>
    <col min="8" max="8" width="7.28515625" style="79" bestFit="1" customWidth="1"/>
    <col min="9" max="9" width="15.28515625" style="79" bestFit="1" customWidth="1"/>
    <col min="10" max="10" width="7.28515625" style="79" bestFit="1" customWidth="1"/>
    <col min="11" max="16384" width="8.85546875" style="79"/>
  </cols>
  <sheetData>
    <row r="1" spans="1:10" s="54" customFormat="1" ht="15.95" customHeight="1" x14ac:dyDescent="0.25">
      <c r="A1" s="81"/>
      <c r="B1" s="82"/>
      <c r="C1" s="82"/>
      <c r="D1" s="83"/>
      <c r="E1" s="82"/>
      <c r="F1" s="82"/>
      <c r="G1" s="179" t="s">
        <v>185</v>
      </c>
      <c r="H1" s="179"/>
      <c r="I1" s="179"/>
      <c r="J1" s="180"/>
    </row>
    <row r="2" spans="1:10" s="54" customFormat="1" ht="15.95" customHeight="1" x14ac:dyDescent="0.25">
      <c r="A2" s="84"/>
      <c r="B2" s="85"/>
      <c r="C2" s="85"/>
      <c r="D2" s="86"/>
      <c r="E2" s="85"/>
      <c r="F2" s="85"/>
      <c r="G2" s="181"/>
      <c r="H2" s="181"/>
      <c r="I2" s="181"/>
      <c r="J2" s="182"/>
    </row>
    <row r="3" spans="1:10" s="54" customFormat="1" ht="15.95" customHeight="1" x14ac:dyDescent="0.25">
      <c r="A3" s="84"/>
      <c r="B3" s="87"/>
      <c r="C3" s="87"/>
      <c r="D3" s="87"/>
      <c r="E3" s="87"/>
      <c r="F3" s="87"/>
      <c r="G3" s="181"/>
      <c r="H3" s="181"/>
      <c r="I3" s="181"/>
      <c r="J3" s="182"/>
    </row>
    <row r="4" spans="1:10" s="54" customFormat="1" ht="15.95" customHeight="1" x14ac:dyDescent="0.25">
      <c r="A4" s="84"/>
      <c r="B4" s="87"/>
      <c r="C4" s="87"/>
      <c r="D4" s="87"/>
      <c r="E4" s="87"/>
      <c r="F4" s="87"/>
      <c r="G4" s="181"/>
      <c r="H4" s="181"/>
      <c r="I4" s="181"/>
      <c r="J4" s="182"/>
    </row>
    <row r="5" spans="1:10" s="54" customFormat="1" ht="15.95" customHeight="1" x14ac:dyDescent="0.25">
      <c r="A5" s="84"/>
      <c r="B5" s="87"/>
      <c r="C5" s="87"/>
      <c r="D5" s="87"/>
      <c r="E5" s="87"/>
      <c r="F5" s="87"/>
      <c r="G5" s="181"/>
      <c r="H5" s="181"/>
      <c r="I5" s="181"/>
      <c r="J5" s="182"/>
    </row>
    <row r="6" spans="1:10" s="54" customFormat="1" ht="15.95" customHeight="1" x14ac:dyDescent="0.25">
      <c r="A6" s="84"/>
      <c r="B6" s="87"/>
      <c r="C6" s="87"/>
      <c r="D6" s="87"/>
      <c r="E6" s="87"/>
      <c r="F6" s="87"/>
      <c r="G6" s="183"/>
      <c r="H6" s="183"/>
      <c r="I6" s="183"/>
      <c r="J6" s="184"/>
    </row>
    <row r="7" spans="1:10" s="4" customFormat="1" x14ac:dyDescent="0.25">
      <c r="A7" s="169" t="s">
        <v>194</v>
      </c>
      <c r="B7" s="170"/>
      <c r="C7" s="203" t="str">
        <f>Orçamento!C7</f>
        <v>REFORMA DO PRÉDIO DA ASSISTENCIA SOCIAL</v>
      </c>
      <c r="D7" s="203"/>
      <c r="E7" s="203"/>
      <c r="F7" s="203"/>
      <c r="G7" s="203"/>
      <c r="H7" s="203"/>
      <c r="I7" s="203"/>
      <c r="J7" s="204"/>
    </row>
    <row r="8" spans="1:10" s="4" customFormat="1" ht="16.7" customHeight="1" x14ac:dyDescent="0.25">
      <c r="A8" s="171" t="s">
        <v>269</v>
      </c>
      <c r="B8" s="172"/>
      <c r="C8" s="185" t="str">
        <f>Orçamento!C8</f>
        <v>AVENIDA XAVIER DE MENDONÇA, 142 - CENTRO</v>
      </c>
      <c r="D8" s="185"/>
      <c r="E8" s="185"/>
      <c r="F8" s="185"/>
      <c r="G8" s="185"/>
      <c r="H8" s="167"/>
      <c r="I8" s="167"/>
      <c r="J8" s="168"/>
    </row>
    <row r="9" spans="1:10" x14ac:dyDescent="0.25">
      <c r="A9" s="187" t="s">
        <v>15</v>
      </c>
      <c r="B9" s="186" t="s">
        <v>25</v>
      </c>
      <c r="C9" s="186"/>
      <c r="D9" s="187"/>
      <c r="E9" s="187"/>
      <c r="F9" s="187"/>
      <c r="G9" s="187"/>
      <c r="H9" s="187"/>
      <c r="I9" s="187"/>
      <c r="J9" s="187"/>
    </row>
    <row r="10" spans="1:10" x14ac:dyDescent="0.25">
      <c r="A10" s="187"/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0" x14ac:dyDescent="0.25">
      <c r="A11" s="188"/>
      <c r="B11" s="188"/>
      <c r="C11" s="189" t="s">
        <v>186</v>
      </c>
      <c r="D11" s="189"/>
      <c r="E11" s="189" t="s">
        <v>187</v>
      </c>
      <c r="F11" s="189"/>
      <c r="G11" s="189" t="s">
        <v>188</v>
      </c>
      <c r="H11" s="189"/>
      <c r="I11" s="189" t="s">
        <v>10</v>
      </c>
      <c r="J11" s="189"/>
    </row>
    <row r="12" spans="1:10" ht="24.4" customHeight="1" x14ac:dyDescent="0.25">
      <c r="A12" s="190">
        <f>Orçamento!A11</f>
        <v>1</v>
      </c>
      <c r="B12" s="200" t="str">
        <f>VLOOKUP(A12,Orçamento!$A$11:$I$47,4,FALSE)</f>
        <v>SERVIÇOS PRELIMINARES</v>
      </c>
      <c r="C12" s="163">
        <f>D12*$I12</f>
        <v>416.89000000000004</v>
      </c>
      <c r="D12" s="164">
        <v>1</v>
      </c>
      <c r="E12" s="163">
        <f>F12*$I12</f>
        <v>0</v>
      </c>
      <c r="F12" s="164">
        <v>0</v>
      </c>
      <c r="G12" s="163">
        <f>H12*$I12</f>
        <v>0</v>
      </c>
      <c r="H12" s="164">
        <v>0</v>
      </c>
      <c r="I12" s="192">
        <f>VLOOKUP(A12,Orçamento!$A$11:$I$47,9,FALSE)</f>
        <v>416.89000000000004</v>
      </c>
      <c r="J12" s="194">
        <f>SUM(D12,F12,H12)</f>
        <v>1</v>
      </c>
    </row>
    <row r="13" spans="1:10" ht="6.4" customHeight="1" x14ac:dyDescent="0.25">
      <c r="A13" s="199"/>
      <c r="B13" s="201"/>
      <c r="C13" s="197"/>
      <c r="D13" s="198"/>
      <c r="E13" s="197"/>
      <c r="F13" s="198"/>
      <c r="G13" s="197"/>
      <c r="H13" s="198"/>
      <c r="I13" s="193"/>
      <c r="J13" s="195"/>
    </row>
    <row r="14" spans="1:10" ht="24.4" customHeight="1" x14ac:dyDescent="0.25">
      <c r="A14" s="190">
        <v>2</v>
      </c>
      <c r="B14" s="200" t="str">
        <f>VLOOKUP(A14,Orçamento!$A$11:$I$47,4,FALSE)</f>
        <v>PISO E REVESTIMENTOS</v>
      </c>
      <c r="C14" s="163">
        <f>D14*$I14</f>
        <v>4316.7000000000007</v>
      </c>
      <c r="D14" s="164">
        <v>1</v>
      </c>
      <c r="E14" s="163">
        <f>F14*$I14</f>
        <v>0</v>
      </c>
      <c r="F14" s="164">
        <v>0</v>
      </c>
      <c r="G14" s="163">
        <f>H14*$I14</f>
        <v>0</v>
      </c>
      <c r="H14" s="164">
        <v>0</v>
      </c>
      <c r="I14" s="192">
        <f>VLOOKUP(A14,Orçamento!$A$11:$I$47,9,FALSE)</f>
        <v>4316.7000000000007</v>
      </c>
      <c r="J14" s="194">
        <f t="shared" ref="J14" si="0">SUM(D14,F14,H14)</f>
        <v>1</v>
      </c>
    </row>
    <row r="15" spans="1:10" ht="6.4" customHeight="1" x14ac:dyDescent="0.25">
      <c r="A15" s="191"/>
      <c r="B15" s="201"/>
      <c r="C15" s="197"/>
      <c r="D15" s="198"/>
      <c r="E15" s="197"/>
      <c r="F15" s="198"/>
      <c r="G15" s="197"/>
      <c r="H15" s="198"/>
      <c r="I15" s="193"/>
      <c r="J15" s="195"/>
    </row>
    <row r="16" spans="1:10" ht="24.4" customHeight="1" x14ac:dyDescent="0.25">
      <c r="A16" s="190">
        <v>3</v>
      </c>
      <c r="B16" s="200" t="str">
        <f>VLOOKUP(A16,Orçamento!$A$11:$I$47,4,FALSE)</f>
        <v>INSTALAÇÕES HIDRÁULICAS</v>
      </c>
      <c r="C16" s="162">
        <f>D16*$I16</f>
        <v>2504.2100000000005</v>
      </c>
      <c r="D16" s="161">
        <v>1</v>
      </c>
      <c r="E16" s="163">
        <f>F16*$I16</f>
        <v>0</v>
      </c>
      <c r="F16" s="164">
        <v>0</v>
      </c>
      <c r="G16" s="163">
        <f>H16*$I16</f>
        <v>0</v>
      </c>
      <c r="H16" s="164">
        <v>0</v>
      </c>
      <c r="I16" s="192">
        <f>VLOOKUP(A16,Orçamento!$A$11:$I$47,9,FALSE)</f>
        <v>2504.2100000000005</v>
      </c>
      <c r="J16" s="194">
        <f t="shared" ref="J16" si="1">SUM(D16,F16,H16)</f>
        <v>1</v>
      </c>
    </row>
    <row r="17" spans="1:10" ht="6.4" customHeight="1" x14ac:dyDescent="0.25">
      <c r="A17" s="199"/>
      <c r="B17" s="201"/>
      <c r="C17" s="202"/>
      <c r="D17" s="202"/>
      <c r="E17" s="197"/>
      <c r="F17" s="198"/>
      <c r="G17" s="197"/>
      <c r="H17" s="198"/>
      <c r="I17" s="193"/>
      <c r="J17" s="195"/>
    </row>
    <row r="18" spans="1:10" ht="24.4" customHeight="1" x14ac:dyDescent="0.25">
      <c r="A18" s="190">
        <v>4</v>
      </c>
      <c r="B18" s="200" t="str">
        <f>VLOOKUP(A18,Orçamento!$A$11:$I$47,4,FALSE)</f>
        <v>PINTURA</v>
      </c>
      <c r="C18" s="163">
        <f>D18*$I18</f>
        <v>0</v>
      </c>
      <c r="D18" s="164">
        <v>0</v>
      </c>
      <c r="E18" s="163">
        <f>F18*$I18</f>
        <v>0</v>
      </c>
      <c r="F18" s="164">
        <v>0</v>
      </c>
      <c r="G18" s="163">
        <f>H18*$I18</f>
        <v>24280.679999999997</v>
      </c>
      <c r="H18" s="164">
        <v>1</v>
      </c>
      <c r="I18" s="192">
        <f>VLOOKUP(A18,Orçamento!$A$11:$I$47,9,FALSE)</f>
        <v>24280.679999999997</v>
      </c>
      <c r="J18" s="194">
        <f t="shared" ref="J18" si="2">SUM(D18,F18,H18)</f>
        <v>1</v>
      </c>
    </row>
    <row r="19" spans="1:10" ht="6.4" customHeight="1" x14ac:dyDescent="0.25">
      <c r="A19" s="191"/>
      <c r="B19" s="201"/>
      <c r="C19" s="197"/>
      <c r="D19" s="198"/>
      <c r="E19" s="197"/>
      <c r="F19" s="198"/>
      <c r="G19" s="197"/>
      <c r="H19" s="198"/>
      <c r="I19" s="193"/>
      <c r="J19" s="195"/>
    </row>
    <row r="20" spans="1:10" x14ac:dyDescent="0.25">
      <c r="A20" s="190">
        <v>5</v>
      </c>
      <c r="B20" s="200" t="str">
        <f>VLOOKUP(A20,Orçamento!$A$11:$I$47,4,FALSE)</f>
        <v>MANUTENÇÃO DE TELHADO</v>
      </c>
      <c r="C20" s="163">
        <f>D20*$I20</f>
        <v>0</v>
      </c>
      <c r="D20" s="164">
        <v>0</v>
      </c>
      <c r="E20" s="163">
        <f>F20*$I20</f>
        <v>17458.300000000003</v>
      </c>
      <c r="F20" s="164">
        <v>1</v>
      </c>
      <c r="G20" s="163">
        <f>H20*$I20</f>
        <v>0</v>
      </c>
      <c r="H20" s="164">
        <v>0</v>
      </c>
      <c r="I20" s="192">
        <f>VLOOKUP(A20,Orçamento!$A$11:$I$47,9,FALSE)</f>
        <v>17458.300000000003</v>
      </c>
      <c r="J20" s="194">
        <f t="shared" ref="J20" si="3">SUM(D20,F20,H20)</f>
        <v>1</v>
      </c>
    </row>
    <row r="21" spans="1:10" ht="6.4" customHeight="1" x14ac:dyDescent="0.25">
      <c r="A21" s="199"/>
      <c r="B21" s="201"/>
      <c r="C21" s="197"/>
      <c r="D21" s="198"/>
      <c r="E21" s="197"/>
      <c r="F21" s="198"/>
      <c r="G21" s="197"/>
      <c r="H21" s="198"/>
      <c r="I21" s="193"/>
      <c r="J21" s="195"/>
    </row>
    <row r="22" spans="1:10" x14ac:dyDescent="0.25">
      <c r="C22" s="80"/>
      <c r="D22" s="80"/>
      <c r="E22" s="80"/>
      <c r="F22" s="80"/>
      <c r="G22" s="80"/>
      <c r="H22" s="80"/>
    </row>
    <row r="23" spans="1:10" x14ac:dyDescent="0.25">
      <c r="A23" s="196" t="s">
        <v>24</v>
      </c>
      <c r="B23" s="196"/>
      <c r="C23" s="165">
        <f>SUM(C12:C21)</f>
        <v>7237.8000000000011</v>
      </c>
      <c r="D23" s="166">
        <f>C23/$I$23</f>
        <v>0.14778023381692307</v>
      </c>
      <c r="E23" s="165">
        <f>SUM(E12:E21)</f>
        <v>17458.300000000003</v>
      </c>
      <c r="F23" s="166">
        <f>E23/$I$23</f>
        <v>0.35646075548453782</v>
      </c>
      <c r="G23" s="165">
        <f>SUM(G12:G21)</f>
        <v>24280.679999999997</v>
      </c>
      <c r="H23" s="166">
        <f>G23/$I$23</f>
        <v>0.49575901069853912</v>
      </c>
      <c r="I23" s="165">
        <f>SUM(I12:I21)</f>
        <v>48976.78</v>
      </c>
      <c r="J23" s="166">
        <f>I23/$I$23</f>
        <v>1</v>
      </c>
    </row>
    <row r="24" spans="1:10" ht="6.4" customHeight="1" x14ac:dyDescent="0.25"/>
  </sheetData>
  <mergeCells count="48">
    <mergeCell ref="E21:F21"/>
    <mergeCell ref="G21:H21"/>
    <mergeCell ref="J20:J21"/>
    <mergeCell ref="B18:B19"/>
    <mergeCell ref="G19:H19"/>
    <mergeCell ref="J12:J13"/>
    <mergeCell ref="C11:D11"/>
    <mergeCell ref="E11:F11"/>
    <mergeCell ref="G11:H11"/>
    <mergeCell ref="B9:B11"/>
    <mergeCell ref="A12:A13"/>
    <mergeCell ref="B12:B13"/>
    <mergeCell ref="A14:A15"/>
    <mergeCell ref="B14:B15"/>
    <mergeCell ref="I16:I17"/>
    <mergeCell ref="G13:H13"/>
    <mergeCell ref="C17:D17"/>
    <mergeCell ref="E17:F17"/>
    <mergeCell ref="I12:I13"/>
    <mergeCell ref="G17:H17"/>
    <mergeCell ref="A16:A17"/>
    <mergeCell ref="B16:B17"/>
    <mergeCell ref="C13:D13"/>
    <mergeCell ref="E13:F13"/>
    <mergeCell ref="A18:A19"/>
    <mergeCell ref="I14:I15"/>
    <mergeCell ref="J14:J15"/>
    <mergeCell ref="I20:I21"/>
    <mergeCell ref="A23:B23"/>
    <mergeCell ref="C15:D15"/>
    <mergeCell ref="E15:F15"/>
    <mergeCell ref="G15:H15"/>
    <mergeCell ref="C19:D19"/>
    <mergeCell ref="E19:F19"/>
    <mergeCell ref="A20:A21"/>
    <mergeCell ref="I18:I19"/>
    <mergeCell ref="J18:J19"/>
    <mergeCell ref="B20:B21"/>
    <mergeCell ref="J16:J17"/>
    <mergeCell ref="C21:D21"/>
    <mergeCell ref="G1:J6"/>
    <mergeCell ref="A7:B7"/>
    <mergeCell ref="A8:B8"/>
    <mergeCell ref="C8:G8"/>
    <mergeCell ref="C9:J10"/>
    <mergeCell ref="A9:A11"/>
    <mergeCell ref="I11:J11"/>
    <mergeCell ref="C7:J7"/>
  </mergeCells>
  <phoneticPr fontId="3" type="noConversion"/>
  <conditionalFormatting sqref="C13:G13">
    <cfRule type="expression" dxfId="11" priority="11">
      <formula>D$12&gt;0</formula>
    </cfRule>
  </conditionalFormatting>
  <conditionalFormatting sqref="C15:G15">
    <cfRule type="expression" dxfId="10" priority="10">
      <formula>D$14&gt;0</formula>
    </cfRule>
  </conditionalFormatting>
  <conditionalFormatting sqref="C17:G17">
    <cfRule type="expression" dxfId="9" priority="9">
      <formula>D$16&gt;0</formula>
    </cfRule>
  </conditionalFormatting>
  <conditionalFormatting sqref="C19:G19">
    <cfRule type="expression" dxfId="8" priority="8">
      <formula>D$18&gt;0</formula>
    </cfRule>
  </conditionalFormatting>
  <conditionalFormatting sqref="C21:G21">
    <cfRule type="expression" dxfId="7" priority="7">
      <formula>D$20&gt;0</formula>
    </cfRule>
  </conditionalFormatting>
  <conditionalFormatting sqref="H13">
    <cfRule type="expression" dxfId="6" priority="22">
      <formula>#REF!&gt;0</formula>
    </cfRule>
  </conditionalFormatting>
  <conditionalFormatting sqref="H15">
    <cfRule type="expression" dxfId="5" priority="24">
      <formula>#REF!&gt;0</formula>
    </cfRule>
  </conditionalFormatting>
  <conditionalFormatting sqref="H17">
    <cfRule type="expression" dxfId="4" priority="26">
      <formula>#REF!&gt;0</formula>
    </cfRule>
  </conditionalFormatting>
  <conditionalFormatting sqref="H19">
    <cfRule type="expression" dxfId="3" priority="28">
      <formula>#REF!&gt;0</formula>
    </cfRule>
  </conditionalFormatting>
  <conditionalFormatting sqref="H21">
    <cfRule type="expression" dxfId="2" priority="30">
      <formula>#REF!&gt;0</formula>
    </cfRule>
  </conditionalFormatting>
  <printOptions horizontalCentered="1"/>
  <pageMargins left="0.51181102362204722" right="0.51181102362204722" top="0.47244094488188976" bottom="0.59055118110236215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46"/>
  <sheetViews>
    <sheetView workbookViewId="0">
      <selection activeCell="F2" sqref="F2:H6"/>
    </sheetView>
  </sheetViews>
  <sheetFormatPr defaultColWidth="8.85546875" defaultRowHeight="15.75" x14ac:dyDescent="0.25"/>
  <cols>
    <col min="1" max="1" width="6.42578125" style="112" bestFit="1" customWidth="1"/>
    <col min="2" max="2" width="38.5703125" style="112" bestFit="1" customWidth="1"/>
    <col min="3" max="3" width="9.7109375" style="112" bestFit="1" customWidth="1"/>
    <col min="4" max="4" width="21.42578125" style="112" customWidth="1"/>
    <col min="5" max="5" width="11.28515625" style="112" bestFit="1" customWidth="1"/>
    <col min="6" max="6" width="21.42578125" style="112" customWidth="1"/>
    <col min="7" max="7" width="11.7109375" style="112" customWidth="1"/>
    <col min="8" max="8" width="21.42578125" style="112" customWidth="1"/>
    <col min="9" max="9" width="11.7109375" style="112" customWidth="1"/>
    <col min="10" max="10" width="15.140625" style="114" bestFit="1" customWidth="1"/>
    <col min="11" max="11" width="2.28515625" style="112" customWidth="1"/>
    <col min="12" max="12" width="15.7109375" style="112" bestFit="1" customWidth="1"/>
    <col min="13" max="13" width="9" style="112" bestFit="1" customWidth="1"/>
    <col min="14" max="16384" width="8.85546875" style="112"/>
  </cols>
  <sheetData>
    <row r="7" spans="1:10" x14ac:dyDescent="0.25">
      <c r="B7" s="113"/>
    </row>
    <row r="8" spans="1:10" x14ac:dyDescent="0.25">
      <c r="B8" s="231" t="s">
        <v>189</v>
      </c>
      <c r="C8" s="231"/>
    </row>
    <row r="9" spans="1:10" x14ac:dyDescent="0.25">
      <c r="B9" s="231" t="s">
        <v>192</v>
      </c>
      <c r="C9" s="231"/>
      <c r="E9" s="232" t="s">
        <v>190</v>
      </c>
      <c r="F9" s="233"/>
      <c r="I9" s="232" t="s">
        <v>191</v>
      </c>
      <c r="J9" s="233"/>
    </row>
    <row r="10" spans="1:10" x14ac:dyDescent="0.25">
      <c r="B10" s="231" t="s">
        <v>193</v>
      </c>
      <c r="C10" s="231"/>
      <c r="E10" s="234" t="s">
        <v>221</v>
      </c>
      <c r="F10" s="235"/>
      <c r="I10" s="236">
        <v>45901</v>
      </c>
      <c r="J10" s="235"/>
    </row>
    <row r="12" spans="1:10" ht="15.6" customHeight="1" x14ac:dyDescent="0.25">
      <c r="B12" s="222" t="s">
        <v>194</v>
      </c>
      <c r="C12" s="223"/>
      <c r="D12" s="223"/>
      <c r="E12" s="224"/>
      <c r="G12" s="213" t="s">
        <v>195</v>
      </c>
      <c r="H12" s="213"/>
      <c r="I12" s="213"/>
      <c r="J12" s="213"/>
    </row>
    <row r="13" spans="1:10" ht="15.6" customHeight="1" x14ac:dyDescent="0.25">
      <c r="B13" s="225" t="str">
        <f>Orçamento!C7</f>
        <v>REFORMA DO PRÉDIO DA ASSISTENCIA SOCIAL</v>
      </c>
      <c r="C13" s="226"/>
      <c r="D13" s="226"/>
      <c r="E13" s="227"/>
      <c r="G13" s="213" t="s">
        <v>219</v>
      </c>
      <c r="H13" s="213"/>
      <c r="I13" s="213"/>
      <c r="J13" s="213"/>
    </row>
    <row r="14" spans="1:10" ht="15.6" customHeight="1" x14ac:dyDescent="0.25">
      <c r="B14" s="228"/>
      <c r="C14" s="229"/>
      <c r="D14" s="229"/>
      <c r="E14" s="230"/>
      <c r="G14" s="213" t="s">
        <v>220</v>
      </c>
      <c r="H14" s="213"/>
      <c r="I14" s="213"/>
      <c r="J14" s="213"/>
    </row>
    <row r="16" spans="1:10" x14ac:dyDescent="0.25">
      <c r="A16" s="220" t="s">
        <v>15</v>
      </c>
      <c r="B16" s="220" t="s">
        <v>196</v>
      </c>
      <c r="C16" s="220" t="s">
        <v>197</v>
      </c>
      <c r="D16" s="220" t="s">
        <v>198</v>
      </c>
      <c r="E16" s="220"/>
      <c r="F16" s="220" t="s">
        <v>199</v>
      </c>
      <c r="G16" s="220"/>
      <c r="H16" s="220" t="s">
        <v>200</v>
      </c>
      <c r="I16" s="220"/>
      <c r="J16" s="220" t="s">
        <v>10</v>
      </c>
    </row>
    <row r="17" spans="1:10" x14ac:dyDescent="0.25">
      <c r="A17" s="220"/>
      <c r="B17" s="220"/>
      <c r="C17" s="220"/>
      <c r="D17" s="220" t="s">
        <v>222</v>
      </c>
      <c r="E17" s="220"/>
      <c r="F17" s="220" t="s">
        <v>213</v>
      </c>
      <c r="G17" s="220"/>
      <c r="H17" s="220" t="s">
        <v>213</v>
      </c>
      <c r="I17" s="220"/>
      <c r="J17" s="220"/>
    </row>
    <row r="18" spans="1:10" ht="31.15" customHeight="1" x14ac:dyDescent="0.25">
      <c r="A18" s="220"/>
      <c r="B18" s="220"/>
      <c r="C18" s="220"/>
      <c r="D18" s="221" t="s">
        <v>209</v>
      </c>
      <c r="E18" s="125" t="s">
        <v>212</v>
      </c>
      <c r="F18" s="221" t="s">
        <v>214</v>
      </c>
      <c r="G18" s="125" t="s">
        <v>212</v>
      </c>
      <c r="H18" s="221" t="s">
        <v>214</v>
      </c>
      <c r="I18" s="125" t="s">
        <v>212</v>
      </c>
      <c r="J18" s="220"/>
    </row>
    <row r="19" spans="1:10" x14ac:dyDescent="0.25">
      <c r="A19" s="220"/>
      <c r="B19" s="220"/>
      <c r="C19" s="220"/>
      <c r="D19" s="221"/>
      <c r="E19" s="126" t="s">
        <v>218</v>
      </c>
      <c r="F19" s="221"/>
      <c r="G19" s="126"/>
      <c r="H19" s="221"/>
      <c r="I19" s="126"/>
      <c r="J19" s="220"/>
    </row>
    <row r="20" spans="1:10" x14ac:dyDescent="0.25">
      <c r="A20" s="205">
        <v>1</v>
      </c>
      <c r="B20" s="207">
        <f>VLOOKUP(A20,Orçamento!A$11:I$32,5,FALSE)</f>
        <v>0</v>
      </c>
      <c r="C20" s="115" t="s">
        <v>208</v>
      </c>
      <c r="D20" s="210">
        <v>79.37</v>
      </c>
      <c r="E20" s="210"/>
      <c r="F20" s="210"/>
      <c r="G20" s="210"/>
      <c r="H20" s="210"/>
      <c r="I20" s="210"/>
      <c r="J20" s="116">
        <f>SUM(D20:I20)</f>
        <v>79.37</v>
      </c>
    </row>
    <row r="21" spans="1:10" x14ac:dyDescent="0.25">
      <c r="A21" s="206"/>
      <c r="B21" s="208"/>
      <c r="C21" s="117" t="s">
        <v>201</v>
      </c>
      <c r="D21" s="211">
        <f>Cronograma!I12</f>
        <v>416.89000000000004</v>
      </c>
      <c r="E21" s="212"/>
      <c r="F21" s="211"/>
      <c r="G21" s="212"/>
      <c r="H21" s="211"/>
      <c r="I21" s="212"/>
      <c r="J21" s="118">
        <f>SUM(D21:I21)</f>
        <v>416.89000000000004</v>
      </c>
    </row>
    <row r="22" spans="1:10" x14ac:dyDescent="0.25">
      <c r="A22" s="205">
        <v>2</v>
      </c>
      <c r="B22" s="207">
        <f>VLOOKUP(A22,Orçamento!A$11:I$32,5,FALSE)</f>
        <v>0</v>
      </c>
      <c r="C22" s="115" t="s">
        <v>215</v>
      </c>
      <c r="D22" s="209">
        <v>1</v>
      </c>
      <c r="E22" s="209"/>
      <c r="F22" s="210"/>
      <c r="G22" s="210"/>
      <c r="H22" s="210"/>
      <c r="I22" s="210"/>
      <c r="J22" s="116">
        <f t="shared" ref="J22:J27" si="0">SUM(D22:I22)</f>
        <v>1</v>
      </c>
    </row>
    <row r="23" spans="1:10" x14ac:dyDescent="0.25">
      <c r="A23" s="206"/>
      <c r="B23" s="208"/>
      <c r="C23" s="117" t="s">
        <v>201</v>
      </c>
      <c r="D23" s="211">
        <f>Cronograma!I14</f>
        <v>4316.7000000000007</v>
      </c>
      <c r="E23" s="212"/>
      <c r="F23" s="211"/>
      <c r="G23" s="212"/>
      <c r="H23" s="211"/>
      <c r="I23" s="212"/>
      <c r="J23" s="118">
        <f t="shared" si="0"/>
        <v>4316.7000000000007</v>
      </c>
    </row>
    <row r="24" spans="1:10" x14ac:dyDescent="0.25">
      <c r="A24" s="205">
        <v>3</v>
      </c>
      <c r="B24" s="207">
        <f>VLOOKUP(A24,Orçamento!A$11:I$32,5,FALSE)</f>
        <v>0</v>
      </c>
      <c r="C24" s="115" t="s">
        <v>208</v>
      </c>
      <c r="D24" s="209">
        <v>1243</v>
      </c>
      <c r="E24" s="209"/>
      <c r="F24" s="210"/>
      <c r="G24" s="210"/>
      <c r="H24" s="210"/>
      <c r="I24" s="210"/>
      <c r="J24" s="116">
        <f t="shared" si="0"/>
        <v>1243</v>
      </c>
    </row>
    <row r="25" spans="1:10" x14ac:dyDescent="0.25">
      <c r="A25" s="206"/>
      <c r="B25" s="208"/>
      <c r="C25" s="117" t="s">
        <v>201</v>
      </c>
      <c r="D25" s="211">
        <f>Cronograma!I16</f>
        <v>2504.2100000000005</v>
      </c>
      <c r="E25" s="212"/>
      <c r="F25" s="211"/>
      <c r="G25" s="212"/>
      <c r="H25" s="211"/>
      <c r="I25" s="212"/>
      <c r="J25" s="118">
        <f t="shared" si="0"/>
        <v>2504.2100000000005</v>
      </c>
    </row>
    <row r="26" spans="1:10" x14ac:dyDescent="0.25">
      <c r="A26" s="205">
        <v>4</v>
      </c>
      <c r="B26" s="207" t="e">
        <f>VLOOKUP(A26,Orçamento!A$11:I$32,5,FALSE)</f>
        <v>#N/A</v>
      </c>
      <c r="C26" s="115" t="s">
        <v>215</v>
      </c>
      <c r="D26" s="209">
        <v>23</v>
      </c>
      <c r="E26" s="209"/>
      <c r="F26" s="210"/>
      <c r="G26" s="210"/>
      <c r="H26" s="210"/>
      <c r="I26" s="210"/>
      <c r="J26" s="116">
        <f t="shared" si="0"/>
        <v>23</v>
      </c>
    </row>
    <row r="27" spans="1:10" x14ac:dyDescent="0.25">
      <c r="A27" s="206"/>
      <c r="B27" s="208"/>
      <c r="C27" s="117" t="s">
        <v>201</v>
      </c>
      <c r="D27" s="211">
        <f>Cronograma!I18</f>
        <v>24280.679999999997</v>
      </c>
      <c r="E27" s="212"/>
      <c r="F27" s="211"/>
      <c r="G27" s="212"/>
      <c r="H27" s="211"/>
      <c r="I27" s="212"/>
      <c r="J27" s="118">
        <f t="shared" si="0"/>
        <v>24280.679999999997</v>
      </c>
    </row>
    <row r="28" spans="1:10" x14ac:dyDescent="0.25">
      <c r="A28" s="205">
        <v>5</v>
      </c>
      <c r="B28" s="207" t="e">
        <f>VLOOKUP(A28,Orçamento!A$11:I$32,5,FALSE)</f>
        <v>#N/A</v>
      </c>
      <c r="C28" s="115" t="s">
        <v>208</v>
      </c>
      <c r="D28" s="209">
        <v>1300</v>
      </c>
      <c r="E28" s="209"/>
      <c r="F28" s="210"/>
      <c r="G28" s="210"/>
      <c r="H28" s="210"/>
      <c r="I28" s="210"/>
      <c r="J28" s="116">
        <f t="shared" ref="J28:J31" si="1">SUM(D28:I28)</f>
        <v>1300</v>
      </c>
    </row>
    <row r="29" spans="1:10" x14ac:dyDescent="0.25">
      <c r="A29" s="206"/>
      <c r="B29" s="208"/>
      <c r="C29" s="117" t="s">
        <v>201</v>
      </c>
      <c r="D29" s="211">
        <f>Cronograma!I20</f>
        <v>17458.300000000003</v>
      </c>
      <c r="E29" s="212"/>
      <c r="F29" s="211"/>
      <c r="G29" s="212"/>
      <c r="H29" s="211"/>
      <c r="I29" s="212"/>
      <c r="J29" s="118">
        <f t="shared" si="1"/>
        <v>17458.300000000003</v>
      </c>
    </row>
    <row r="30" spans="1:10" x14ac:dyDescent="0.25">
      <c r="A30" s="205">
        <v>6</v>
      </c>
      <c r="B30" s="207" t="e">
        <f>VLOOKUP(A30,Orçamento!A$11:I$32,5,FALSE)</f>
        <v>#N/A</v>
      </c>
      <c r="C30" s="115" t="s">
        <v>208</v>
      </c>
      <c r="D30" s="209">
        <v>1874</v>
      </c>
      <c r="E30" s="209"/>
      <c r="F30" s="210"/>
      <c r="G30" s="210"/>
      <c r="H30" s="210"/>
      <c r="I30" s="210"/>
      <c r="J30" s="116">
        <f t="shared" si="1"/>
        <v>1874</v>
      </c>
    </row>
    <row r="31" spans="1:10" x14ac:dyDescent="0.25">
      <c r="A31" s="206"/>
      <c r="B31" s="208"/>
      <c r="C31" s="117" t="s">
        <v>201</v>
      </c>
      <c r="D31" s="211" t="e">
        <f>Cronograma!#REF!</f>
        <v>#REF!</v>
      </c>
      <c r="E31" s="212"/>
      <c r="F31" s="211"/>
      <c r="G31" s="212"/>
      <c r="H31" s="211"/>
      <c r="I31" s="212"/>
      <c r="J31" s="118" t="e">
        <f t="shared" si="1"/>
        <v>#REF!</v>
      </c>
    </row>
    <row r="32" spans="1:10" x14ac:dyDescent="0.25">
      <c r="A32" s="119"/>
      <c r="B32" s="113"/>
      <c r="C32" s="113"/>
      <c r="D32" s="215"/>
      <c r="E32" s="215"/>
      <c r="F32" s="215"/>
      <c r="G32" s="215"/>
      <c r="H32" s="215"/>
      <c r="I32" s="215"/>
      <c r="J32" s="120"/>
    </row>
    <row r="33" spans="1:13" s="134" customFormat="1" x14ac:dyDescent="0.25">
      <c r="A33" s="216" t="s">
        <v>202</v>
      </c>
      <c r="B33" s="216"/>
      <c r="C33" s="216"/>
      <c r="D33" s="217" t="e">
        <f>ROUND(D35*$M$33,2)</f>
        <v>#REF!</v>
      </c>
      <c r="E33" s="217"/>
      <c r="F33" s="217" t="e">
        <f t="shared" ref="F33" si="2">ROUND(F35*$M$33,2)</f>
        <v>#REF!</v>
      </c>
      <c r="G33" s="217"/>
      <c r="H33" s="217" t="e">
        <f t="shared" ref="H33" si="3">ROUND(H35*$M$33,2)</f>
        <v>#REF!</v>
      </c>
      <c r="I33" s="217"/>
      <c r="J33" s="133">
        <v>225000</v>
      </c>
      <c r="L33" s="135">
        <v>225000</v>
      </c>
      <c r="M33" s="136" t="e">
        <f>L33/J35</f>
        <v>#REF!</v>
      </c>
    </row>
    <row r="34" spans="1:13" s="130" customFormat="1" x14ac:dyDescent="0.25">
      <c r="A34" s="218" t="s">
        <v>203</v>
      </c>
      <c r="B34" s="218"/>
      <c r="C34" s="218"/>
      <c r="D34" s="219" t="e">
        <f>D35-D33</f>
        <v>#REF!</v>
      </c>
      <c r="E34" s="219"/>
      <c r="F34" s="219" t="e">
        <f t="shared" ref="F34" si="4">F35-F33</f>
        <v>#REF!</v>
      </c>
      <c r="G34" s="219"/>
      <c r="H34" s="219" t="e">
        <f t="shared" ref="H34" si="5">H35-H33</f>
        <v>#REF!</v>
      </c>
      <c r="I34" s="219"/>
      <c r="J34" s="129" t="e">
        <f t="shared" ref="J34:J35" si="6">SUM(D34:I34)</f>
        <v>#REF!</v>
      </c>
      <c r="L34" s="131" t="e">
        <f>J35-J33</f>
        <v>#REF!</v>
      </c>
      <c r="M34" s="132" t="e">
        <f>L34/J35</f>
        <v>#REF!</v>
      </c>
    </row>
    <row r="35" spans="1:13" s="128" customFormat="1" x14ac:dyDescent="0.25">
      <c r="A35" s="213" t="s">
        <v>10</v>
      </c>
      <c r="B35" s="213"/>
      <c r="C35" s="213"/>
      <c r="D35" s="214" t="e">
        <f>D21+D23+D25+D27+D29+D31</f>
        <v>#REF!</v>
      </c>
      <c r="E35" s="214"/>
      <c r="F35" s="214">
        <f t="shared" ref="F35" si="7">F21+F23+F25+F27+F29+F31</f>
        <v>0</v>
      </c>
      <c r="G35" s="214"/>
      <c r="H35" s="214">
        <f t="shared" ref="H35" si="8">H21+H23+H25+H27+H29+H31</f>
        <v>0</v>
      </c>
      <c r="I35" s="214"/>
      <c r="J35" s="127" t="e">
        <f t="shared" si="6"/>
        <v>#REF!</v>
      </c>
    </row>
    <row r="37" spans="1:13" x14ac:dyDescent="0.25">
      <c r="A37" s="121" t="s">
        <v>204</v>
      </c>
      <c r="B37" s="122" t="s">
        <v>207</v>
      </c>
    </row>
    <row r="38" spans="1:13" x14ac:dyDescent="0.25">
      <c r="A38" s="121" t="s">
        <v>205</v>
      </c>
      <c r="B38" s="123" t="s">
        <v>210</v>
      </c>
    </row>
    <row r="39" spans="1:13" x14ac:dyDescent="0.25">
      <c r="A39" s="121"/>
      <c r="B39" s="123"/>
    </row>
    <row r="42" spans="1:13" x14ac:dyDescent="0.25">
      <c r="B42" s="124"/>
    </row>
    <row r="43" spans="1:13" x14ac:dyDescent="0.25">
      <c r="B43" s="114" t="s">
        <v>211</v>
      </c>
    </row>
    <row r="44" spans="1:13" x14ac:dyDescent="0.25">
      <c r="B44" s="114" t="s">
        <v>206</v>
      </c>
    </row>
    <row r="45" spans="1:13" x14ac:dyDescent="0.25">
      <c r="B45" s="114" t="s">
        <v>216</v>
      </c>
    </row>
    <row r="46" spans="1:13" x14ac:dyDescent="0.25">
      <c r="B46" s="114" t="s">
        <v>217</v>
      </c>
    </row>
  </sheetData>
  <mergeCells count="88">
    <mergeCell ref="B8:C8"/>
    <mergeCell ref="E9:F9"/>
    <mergeCell ref="I9:J9"/>
    <mergeCell ref="B9:C9"/>
    <mergeCell ref="B10:C10"/>
    <mergeCell ref="E10:F10"/>
    <mergeCell ref="I10:J10"/>
    <mergeCell ref="A16:A19"/>
    <mergeCell ref="B16:B19"/>
    <mergeCell ref="C16:C19"/>
    <mergeCell ref="D16:E16"/>
    <mergeCell ref="F16:G16"/>
    <mergeCell ref="B12:E12"/>
    <mergeCell ref="B13:E14"/>
    <mergeCell ref="G12:J12"/>
    <mergeCell ref="G14:J14"/>
    <mergeCell ref="G13:J13"/>
    <mergeCell ref="H16:I16"/>
    <mergeCell ref="J16:J19"/>
    <mergeCell ref="D17:E17"/>
    <mergeCell ref="F17:G17"/>
    <mergeCell ref="H17:I17"/>
    <mergeCell ref="D18:D19"/>
    <mergeCell ref="F18:F19"/>
    <mergeCell ref="H18:H19"/>
    <mergeCell ref="A20:A21"/>
    <mergeCell ref="B20:B21"/>
    <mergeCell ref="D20:E20"/>
    <mergeCell ref="F20:G20"/>
    <mergeCell ref="H20:I20"/>
    <mergeCell ref="D21:E21"/>
    <mergeCell ref="F21:G21"/>
    <mergeCell ref="H21:I21"/>
    <mergeCell ref="A22:A23"/>
    <mergeCell ref="B22:B23"/>
    <mergeCell ref="D22:E22"/>
    <mergeCell ref="F22:G22"/>
    <mergeCell ref="H22:I22"/>
    <mergeCell ref="D23:E23"/>
    <mergeCell ref="F23:G23"/>
    <mergeCell ref="H23:I23"/>
    <mergeCell ref="A24:A25"/>
    <mergeCell ref="B24:B25"/>
    <mergeCell ref="D24:E24"/>
    <mergeCell ref="F24:G24"/>
    <mergeCell ref="H24:I24"/>
    <mergeCell ref="D25:E25"/>
    <mergeCell ref="F25:G25"/>
    <mergeCell ref="H25:I25"/>
    <mergeCell ref="A26:A27"/>
    <mergeCell ref="B26:B27"/>
    <mergeCell ref="D26:E26"/>
    <mergeCell ref="F26:G26"/>
    <mergeCell ref="H26:I26"/>
    <mergeCell ref="D27:E27"/>
    <mergeCell ref="F27:G27"/>
    <mergeCell ref="H27:I27"/>
    <mergeCell ref="A35:C35"/>
    <mergeCell ref="D35:E35"/>
    <mergeCell ref="D32:E32"/>
    <mergeCell ref="F32:G32"/>
    <mergeCell ref="H32:I32"/>
    <mergeCell ref="A33:C33"/>
    <mergeCell ref="D33:E33"/>
    <mergeCell ref="F35:G35"/>
    <mergeCell ref="H35:I35"/>
    <mergeCell ref="F33:G33"/>
    <mergeCell ref="H33:I33"/>
    <mergeCell ref="A34:C34"/>
    <mergeCell ref="D34:E34"/>
    <mergeCell ref="F34:G34"/>
    <mergeCell ref="H34:I34"/>
    <mergeCell ref="A28:A29"/>
    <mergeCell ref="B28:B29"/>
    <mergeCell ref="D28:E28"/>
    <mergeCell ref="F28:G28"/>
    <mergeCell ref="H28:I28"/>
    <mergeCell ref="D29:E29"/>
    <mergeCell ref="F29:G29"/>
    <mergeCell ref="H29:I29"/>
    <mergeCell ref="A30:A31"/>
    <mergeCell ref="B30:B31"/>
    <mergeCell ref="D30:E30"/>
    <mergeCell ref="F30:G30"/>
    <mergeCell ref="H30:I30"/>
    <mergeCell ref="D31:E31"/>
    <mergeCell ref="F31:G31"/>
    <mergeCell ref="H31:I31"/>
  </mergeCells>
  <phoneticPr fontId="3" type="noConversion"/>
  <printOptions horizontalCentered="1"/>
  <pageMargins left="0.23622047244094491" right="0.23622047244094491" top="0.39370078740157483" bottom="0.39370078740157483" header="0" footer="0"/>
  <pageSetup paperSize="9" scale="72" fitToWidth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T66"/>
  <sheetViews>
    <sheetView workbookViewId="0">
      <selection activeCell="F2" sqref="F2:H6"/>
    </sheetView>
  </sheetViews>
  <sheetFormatPr defaultColWidth="8.85546875" defaultRowHeight="12.75" x14ac:dyDescent="0.2"/>
  <cols>
    <col min="1" max="1" width="2.7109375" style="88" customWidth="1"/>
    <col min="2" max="2" width="11" style="77" customWidth="1"/>
    <col min="3" max="3" width="10.85546875" style="78" bestFit="1" customWidth="1"/>
    <col min="4" max="4" width="60.140625" style="77" customWidth="1"/>
    <col min="5" max="5" width="6" style="77" bestFit="1" customWidth="1"/>
    <col min="6" max="6" width="16.140625" style="77" bestFit="1" customWidth="1"/>
    <col min="7" max="7" width="8.85546875" style="77"/>
    <col min="8" max="8" width="9.28515625" style="77" bestFit="1" customWidth="1"/>
    <col min="9" max="16384" width="8.85546875" style="77"/>
  </cols>
  <sheetData>
    <row r="1" spans="1:20" ht="90" customHeight="1" x14ac:dyDescent="0.2">
      <c r="A1" s="88">
        <v>44888</v>
      </c>
      <c r="B1" s="89"/>
      <c r="C1" s="90"/>
      <c r="D1" s="91"/>
      <c r="E1" s="239" t="s">
        <v>26</v>
      </c>
      <c r="F1" s="240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0" s="76" customFormat="1" x14ac:dyDescent="0.25">
      <c r="A2" s="75">
        <v>44888</v>
      </c>
      <c r="B2" s="93" t="s">
        <v>11</v>
      </c>
      <c r="C2" s="237" t="str">
        <f>Orçamento!C7</f>
        <v>REFORMA DO PRÉDIO DA ASSISTENCIA SOCIAL</v>
      </c>
      <c r="D2" s="237"/>
      <c r="E2" s="237"/>
      <c r="F2" s="94"/>
      <c r="H2" s="95" t="s">
        <v>19</v>
      </c>
    </row>
    <row r="3" spans="1:20" s="76" customFormat="1" x14ac:dyDescent="0.25">
      <c r="A3" s="75">
        <v>44888</v>
      </c>
      <c r="B3" s="93" t="s">
        <v>12</v>
      </c>
      <c r="C3" s="238" t="str">
        <f>Orçamento!C8</f>
        <v>AVENIDA XAVIER DE MENDONÇA, 142 - CENTRO</v>
      </c>
      <c r="D3" s="238"/>
      <c r="E3" s="238"/>
      <c r="F3" s="94"/>
      <c r="H3" s="96">
        <v>2.2823000000000002</v>
      </c>
    </row>
    <row r="4" spans="1:20" s="76" customFormat="1" ht="3.4" customHeight="1" x14ac:dyDescent="0.25">
      <c r="A4" s="75"/>
      <c r="B4" s="97"/>
      <c r="C4" s="98"/>
      <c r="D4" s="99"/>
      <c r="E4" s="99"/>
      <c r="F4" s="100"/>
    </row>
    <row r="5" spans="1:20" s="76" customFormat="1" x14ac:dyDescent="0.25">
      <c r="A5" s="101"/>
      <c r="B5" s="102" t="s">
        <v>173</v>
      </c>
      <c r="C5" s="103" t="s">
        <v>2</v>
      </c>
      <c r="D5" s="103" t="s">
        <v>174</v>
      </c>
      <c r="E5" s="103" t="s">
        <v>16</v>
      </c>
      <c r="F5" s="104" t="s">
        <v>18</v>
      </c>
    </row>
    <row r="6" spans="1:20" s="76" customFormat="1" ht="3.4" customHeight="1" x14ac:dyDescent="0.25">
      <c r="A6" s="75"/>
      <c r="B6" s="97"/>
      <c r="C6" s="98"/>
      <c r="D6" s="99"/>
      <c r="E6" s="99"/>
      <c r="F6" s="100"/>
    </row>
    <row r="7" spans="1:20" x14ac:dyDescent="0.2">
      <c r="A7" s="75">
        <v>44888</v>
      </c>
      <c r="B7" s="105"/>
      <c r="C7" s="105" t="s">
        <v>180</v>
      </c>
      <c r="D7" s="106" t="s">
        <v>135</v>
      </c>
      <c r="E7" s="105"/>
      <c r="F7" s="107">
        <f>SUM(F8:F10)/3</f>
        <v>3916.9333333333329</v>
      </c>
    </row>
    <row r="8" spans="1:20" x14ac:dyDescent="0.2">
      <c r="A8" s="75">
        <v>44888</v>
      </c>
      <c r="B8" s="108"/>
      <c r="C8" s="108"/>
      <c r="D8" s="109" t="s">
        <v>177</v>
      </c>
      <c r="E8" s="110" t="s">
        <v>32</v>
      </c>
      <c r="F8" s="111">
        <v>2900</v>
      </c>
    </row>
    <row r="9" spans="1:20" x14ac:dyDescent="0.2">
      <c r="A9" s="75">
        <v>44888</v>
      </c>
      <c r="B9" s="108"/>
      <c r="C9" s="108"/>
      <c r="D9" s="109" t="s">
        <v>175</v>
      </c>
      <c r="E9" s="110" t="s">
        <v>32</v>
      </c>
      <c r="F9" s="111">
        <v>3394.8</v>
      </c>
    </row>
    <row r="10" spans="1:20" x14ac:dyDescent="0.2">
      <c r="A10" s="75">
        <v>44888</v>
      </c>
      <c r="B10" s="108"/>
      <c r="C10" s="108"/>
      <c r="D10" s="109" t="s">
        <v>176</v>
      </c>
      <c r="E10" s="110" t="s">
        <v>32</v>
      </c>
      <c r="F10" s="111">
        <v>5456</v>
      </c>
    </row>
    <row r="11" spans="1:20" x14ac:dyDescent="0.2">
      <c r="A11" s="75"/>
      <c r="B11" s="108"/>
      <c r="C11" s="108"/>
      <c r="D11" s="109" t="s">
        <v>179</v>
      </c>
      <c r="E11" s="110" t="s">
        <v>32</v>
      </c>
      <c r="F11" s="111">
        <v>6521.09</v>
      </c>
    </row>
    <row r="12" spans="1:20" x14ac:dyDescent="0.2">
      <c r="A12" s="75">
        <v>44888</v>
      </c>
      <c r="B12" s="108"/>
      <c r="C12" s="108"/>
      <c r="D12" s="109" t="s">
        <v>178</v>
      </c>
      <c r="E12" s="110" t="s">
        <v>32</v>
      </c>
      <c r="F12" s="111">
        <v>7290</v>
      </c>
    </row>
    <row r="13" spans="1:20" x14ac:dyDescent="0.2">
      <c r="A13" s="75">
        <v>44888</v>
      </c>
    </row>
    <row r="14" spans="1:20" x14ac:dyDescent="0.2">
      <c r="A14" s="75">
        <v>44888</v>
      </c>
      <c r="B14" s="105"/>
      <c r="C14" s="105" t="s">
        <v>181</v>
      </c>
      <c r="D14" s="106" t="s">
        <v>136</v>
      </c>
      <c r="E14" s="105"/>
      <c r="F14" s="107">
        <f>SUM(F15:F17)/3</f>
        <v>2775.9333333333329</v>
      </c>
    </row>
    <row r="15" spans="1:20" x14ac:dyDescent="0.2">
      <c r="A15" s="75">
        <v>44888</v>
      </c>
      <c r="B15" s="108"/>
      <c r="C15" s="108"/>
      <c r="D15" s="109" t="s">
        <v>177</v>
      </c>
      <c r="E15" s="110" t="s">
        <v>32</v>
      </c>
      <c r="F15" s="111">
        <v>2200</v>
      </c>
    </row>
    <row r="16" spans="1:20" x14ac:dyDescent="0.2">
      <c r="A16" s="75">
        <v>44888</v>
      </c>
      <c r="B16" s="108"/>
      <c r="C16" s="108"/>
      <c r="D16" s="109" t="s">
        <v>175</v>
      </c>
      <c r="E16" s="110" t="s">
        <v>32</v>
      </c>
      <c r="F16" s="111">
        <v>2364.8000000000002</v>
      </c>
    </row>
    <row r="17" spans="1:6" x14ac:dyDescent="0.2">
      <c r="A17" s="75">
        <v>44888</v>
      </c>
      <c r="B17" s="108"/>
      <c r="C17" s="108"/>
      <c r="D17" s="109" t="s">
        <v>176</v>
      </c>
      <c r="E17" s="110" t="s">
        <v>32</v>
      </c>
      <c r="F17" s="111">
        <v>3763</v>
      </c>
    </row>
    <row r="18" spans="1:6" x14ac:dyDescent="0.2">
      <c r="A18" s="75"/>
      <c r="B18" s="108"/>
      <c r="C18" s="108"/>
      <c r="D18" s="109" t="s">
        <v>179</v>
      </c>
      <c r="E18" s="110" t="s">
        <v>32</v>
      </c>
      <c r="F18" s="111">
        <v>4349.49</v>
      </c>
    </row>
    <row r="19" spans="1:6" x14ac:dyDescent="0.2">
      <c r="A19" s="75">
        <v>44888</v>
      </c>
      <c r="B19" s="108"/>
      <c r="C19" s="108"/>
      <c r="D19" s="109" t="s">
        <v>178</v>
      </c>
      <c r="E19" s="110" t="s">
        <v>32</v>
      </c>
      <c r="F19" s="111">
        <v>6003</v>
      </c>
    </row>
    <row r="20" spans="1:6" x14ac:dyDescent="0.2">
      <c r="A20" s="75"/>
      <c r="D20" s="78"/>
      <c r="E20" s="78"/>
    </row>
    <row r="21" spans="1:6" x14ac:dyDescent="0.2">
      <c r="A21" s="75">
        <v>44888</v>
      </c>
      <c r="B21" s="105"/>
      <c r="C21" s="105" t="s">
        <v>183</v>
      </c>
      <c r="D21" s="106" t="s">
        <v>137</v>
      </c>
      <c r="E21" s="105"/>
      <c r="F21" s="107">
        <f>SUM(F22:F24)/3</f>
        <v>2130.9333333333334</v>
      </c>
    </row>
    <row r="22" spans="1:6" x14ac:dyDescent="0.2">
      <c r="A22" s="75">
        <v>44888</v>
      </c>
      <c r="B22" s="108"/>
      <c r="C22" s="108"/>
      <c r="D22" s="109" t="s">
        <v>177</v>
      </c>
      <c r="E22" s="110" t="s">
        <v>32</v>
      </c>
      <c r="F22" s="111">
        <v>1800</v>
      </c>
    </row>
    <row r="23" spans="1:6" x14ac:dyDescent="0.2">
      <c r="A23" s="75">
        <v>44888</v>
      </c>
      <c r="B23" s="108"/>
      <c r="C23" s="108"/>
      <c r="D23" s="109" t="s">
        <v>175</v>
      </c>
      <c r="E23" s="110" t="s">
        <v>32</v>
      </c>
      <c r="F23" s="111">
        <v>1924.8</v>
      </c>
    </row>
    <row r="24" spans="1:6" x14ac:dyDescent="0.2">
      <c r="A24" s="75">
        <v>44888</v>
      </c>
      <c r="B24" s="108"/>
      <c r="C24" s="108"/>
      <c r="D24" s="109" t="s">
        <v>176</v>
      </c>
      <c r="E24" s="110" t="s">
        <v>32</v>
      </c>
      <c r="F24" s="111">
        <v>2668</v>
      </c>
    </row>
    <row r="25" spans="1:6" x14ac:dyDescent="0.2">
      <c r="A25" s="75"/>
      <c r="B25" s="108"/>
      <c r="C25" s="108"/>
      <c r="D25" s="109" t="s">
        <v>179</v>
      </c>
      <c r="E25" s="110" t="s">
        <v>32</v>
      </c>
      <c r="F25" s="111">
        <v>3418.81</v>
      </c>
    </row>
    <row r="26" spans="1:6" x14ac:dyDescent="0.2">
      <c r="A26" s="75">
        <v>44888</v>
      </c>
      <c r="B26" s="108"/>
      <c r="C26" s="108"/>
      <c r="D26" s="109" t="s">
        <v>178</v>
      </c>
      <c r="E26" s="110" t="s">
        <v>32</v>
      </c>
      <c r="F26" s="111">
        <v>5145</v>
      </c>
    </row>
    <row r="27" spans="1:6" x14ac:dyDescent="0.2">
      <c r="A27" s="75">
        <v>44888</v>
      </c>
    </row>
    <row r="28" spans="1:6" x14ac:dyDescent="0.2">
      <c r="A28" s="75">
        <v>44888</v>
      </c>
      <c r="B28" s="105"/>
      <c r="C28" s="105" t="s">
        <v>184</v>
      </c>
      <c r="D28" s="106" t="s">
        <v>138</v>
      </c>
      <c r="E28" s="105"/>
      <c r="F28" s="107">
        <f>SUM(F29:F31)/3</f>
        <v>3794.9333333333329</v>
      </c>
    </row>
    <row r="29" spans="1:6" x14ac:dyDescent="0.2">
      <c r="A29" s="75">
        <v>44888</v>
      </c>
      <c r="B29" s="108"/>
      <c r="C29" s="108"/>
      <c r="D29" s="109" t="s">
        <v>177</v>
      </c>
      <c r="E29" s="110" t="s">
        <v>32</v>
      </c>
      <c r="F29" s="111">
        <v>2800</v>
      </c>
    </row>
    <row r="30" spans="1:6" x14ac:dyDescent="0.2">
      <c r="A30" s="75">
        <v>44888</v>
      </c>
      <c r="B30" s="108"/>
      <c r="C30" s="108"/>
      <c r="D30" s="109" t="s">
        <v>175</v>
      </c>
      <c r="E30" s="110" t="s">
        <v>32</v>
      </c>
      <c r="F30" s="111">
        <v>3174.8</v>
      </c>
    </row>
    <row r="31" spans="1:6" x14ac:dyDescent="0.2">
      <c r="A31" s="75">
        <v>44888</v>
      </c>
      <c r="B31" s="108"/>
      <c r="C31" s="108"/>
      <c r="D31" s="109" t="s">
        <v>176</v>
      </c>
      <c r="E31" s="110" t="s">
        <v>32</v>
      </c>
      <c r="F31" s="111">
        <v>5410</v>
      </c>
    </row>
    <row r="32" spans="1:6" x14ac:dyDescent="0.2">
      <c r="A32" s="75"/>
      <c r="B32" s="108"/>
      <c r="C32" s="108"/>
      <c r="D32" s="109" t="s">
        <v>179</v>
      </c>
      <c r="E32" s="110" t="s">
        <v>32</v>
      </c>
      <c r="F32" s="111">
        <v>7389.69</v>
      </c>
    </row>
    <row r="33" spans="1:6" x14ac:dyDescent="0.2">
      <c r="A33" s="75">
        <v>44888</v>
      </c>
      <c r="B33" s="108"/>
      <c r="C33" s="108"/>
      <c r="D33" s="109" t="s">
        <v>178</v>
      </c>
      <c r="E33" s="110" t="s">
        <v>32</v>
      </c>
      <c r="F33" s="111">
        <v>8290</v>
      </c>
    </row>
    <row r="34" spans="1:6" x14ac:dyDescent="0.2">
      <c r="A34" s="75"/>
      <c r="B34" s="78"/>
      <c r="D34" s="78"/>
      <c r="E34" s="78"/>
    </row>
    <row r="35" spans="1:6" x14ac:dyDescent="0.2">
      <c r="A35" s="75">
        <v>44888</v>
      </c>
      <c r="B35" s="105"/>
      <c r="C35" s="105" t="s">
        <v>182</v>
      </c>
      <c r="D35" s="106" t="s">
        <v>139</v>
      </c>
      <c r="E35" s="105"/>
      <c r="F35" s="107">
        <f>SUM(F36:F38)/3</f>
        <v>3651.2666666666664</v>
      </c>
    </row>
    <row r="36" spans="1:6" x14ac:dyDescent="0.2">
      <c r="A36" s="75">
        <v>44888</v>
      </c>
      <c r="B36" s="108"/>
      <c r="C36" s="108"/>
      <c r="D36" s="109" t="s">
        <v>177</v>
      </c>
      <c r="E36" s="110" t="s">
        <v>32</v>
      </c>
      <c r="F36" s="111">
        <v>3400</v>
      </c>
    </row>
    <row r="37" spans="1:6" x14ac:dyDescent="0.2">
      <c r="A37" s="75">
        <v>44888</v>
      </c>
      <c r="B37" s="108"/>
      <c r="C37" s="108"/>
      <c r="D37" s="109" t="s">
        <v>175</v>
      </c>
      <c r="E37" s="110" t="s">
        <v>32</v>
      </c>
      <c r="F37" s="111">
        <v>2824.8</v>
      </c>
    </row>
    <row r="38" spans="1:6" x14ac:dyDescent="0.2">
      <c r="A38" s="75">
        <v>44888</v>
      </c>
      <c r="B38" s="108"/>
      <c r="C38" s="108"/>
      <c r="D38" s="109" t="s">
        <v>176</v>
      </c>
      <c r="E38" s="110" t="s">
        <v>32</v>
      </c>
      <c r="F38" s="111">
        <v>4729</v>
      </c>
    </row>
    <row r="39" spans="1:6" x14ac:dyDescent="0.2">
      <c r="A39" s="75"/>
      <c r="B39" s="108"/>
      <c r="C39" s="108"/>
      <c r="D39" s="109" t="s">
        <v>179</v>
      </c>
      <c r="E39" s="110" t="s">
        <v>32</v>
      </c>
      <c r="F39" s="111">
        <v>5645.12</v>
      </c>
    </row>
    <row r="40" spans="1:6" x14ac:dyDescent="0.2">
      <c r="A40" s="75">
        <v>44888</v>
      </c>
      <c r="B40" s="108"/>
      <c r="C40" s="108"/>
      <c r="D40" s="109" t="s">
        <v>178</v>
      </c>
      <c r="E40" s="110" t="s">
        <v>32</v>
      </c>
      <c r="F40" s="111">
        <v>6575</v>
      </c>
    </row>
    <row r="41" spans="1:6" x14ac:dyDescent="0.2">
      <c r="A41" s="75"/>
    </row>
    <row r="42" spans="1:6" x14ac:dyDescent="0.2">
      <c r="A42" s="75"/>
    </row>
    <row r="43" spans="1:6" x14ac:dyDescent="0.2">
      <c r="A43" s="75"/>
    </row>
    <row r="44" spans="1:6" x14ac:dyDescent="0.2">
      <c r="A44" s="75"/>
    </row>
    <row r="45" spans="1:6" x14ac:dyDescent="0.2">
      <c r="A45" s="75"/>
    </row>
    <row r="46" spans="1:6" x14ac:dyDescent="0.2">
      <c r="A46" s="75"/>
    </row>
    <row r="47" spans="1:6" x14ac:dyDescent="0.2">
      <c r="A47" s="75"/>
    </row>
    <row r="48" spans="1:6" x14ac:dyDescent="0.2">
      <c r="A48" s="75"/>
    </row>
    <row r="49" spans="1:1" x14ac:dyDescent="0.2">
      <c r="A49" s="75"/>
    </row>
    <row r="50" spans="1:1" x14ac:dyDescent="0.2">
      <c r="A50" s="75"/>
    </row>
    <row r="51" spans="1:1" x14ac:dyDescent="0.2">
      <c r="A51" s="75"/>
    </row>
    <row r="52" spans="1:1" x14ac:dyDescent="0.2">
      <c r="A52" s="75"/>
    </row>
    <row r="53" spans="1:1" x14ac:dyDescent="0.2">
      <c r="A53" s="75"/>
    </row>
    <row r="54" spans="1:1" x14ac:dyDescent="0.2">
      <c r="A54" s="75"/>
    </row>
    <row r="55" spans="1:1" x14ac:dyDescent="0.2">
      <c r="A55" s="75"/>
    </row>
    <row r="56" spans="1:1" x14ac:dyDescent="0.2">
      <c r="A56" s="75"/>
    </row>
    <row r="57" spans="1:1" x14ac:dyDescent="0.2">
      <c r="A57" s="75"/>
    </row>
    <row r="58" spans="1:1" x14ac:dyDescent="0.2">
      <c r="A58" s="75"/>
    </row>
    <row r="59" spans="1:1" x14ac:dyDescent="0.2">
      <c r="A59" s="75"/>
    </row>
    <row r="60" spans="1:1" x14ac:dyDescent="0.2">
      <c r="A60" s="75"/>
    </row>
    <row r="61" spans="1:1" x14ac:dyDescent="0.2">
      <c r="A61" s="75"/>
    </row>
    <row r="62" spans="1:1" x14ac:dyDescent="0.2">
      <c r="A62" s="75"/>
    </row>
    <row r="63" spans="1:1" x14ac:dyDescent="0.2">
      <c r="A63" s="75"/>
    </row>
    <row r="64" spans="1:1" x14ac:dyDescent="0.2">
      <c r="A64" s="75"/>
    </row>
    <row r="65" spans="1:1" x14ac:dyDescent="0.2">
      <c r="A65" s="75"/>
    </row>
    <row r="66" spans="1:1" x14ac:dyDescent="0.2">
      <c r="A66" s="75"/>
    </row>
  </sheetData>
  <autoFilter ref="B7:F7">
    <sortState ref="B8:F15">
      <sortCondition ref="F7"/>
    </sortState>
  </autoFilter>
  <mergeCells count="3">
    <mergeCell ref="C2:E2"/>
    <mergeCell ref="C3:E3"/>
    <mergeCell ref="E1:F1"/>
  </mergeCells>
  <pageMargins left="0.511811024" right="0.511811024" top="0.78740157499999996" bottom="0.78740157499999996" header="0.31496062000000002" footer="0.31496062000000002"/>
  <pageSetup paperSize="9" scale="8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4"/>
  <sheetViews>
    <sheetView workbookViewId="0">
      <selection activeCell="F2" sqref="F2:H6"/>
    </sheetView>
  </sheetViews>
  <sheetFormatPr defaultColWidth="8.85546875" defaultRowHeight="15" x14ac:dyDescent="0.25"/>
  <cols>
    <col min="1" max="1" width="6.7109375" bestFit="1" customWidth="1"/>
    <col min="2" max="2" width="12" customWidth="1"/>
    <col min="3" max="3" width="11.140625" customWidth="1"/>
    <col min="4" max="4" width="0" hidden="1" customWidth="1"/>
    <col min="5" max="5" width="61.28515625" customWidth="1"/>
    <col min="6" max="6" width="6" bestFit="1" customWidth="1"/>
    <col min="7" max="7" width="12.28515625" customWidth="1"/>
    <col min="8" max="8" width="16" customWidth="1"/>
    <col min="9" max="9" width="19.7109375" bestFit="1" customWidth="1"/>
    <col min="10" max="10" width="18.28515625" bestFit="1" customWidth="1"/>
    <col min="11" max="11" width="1.7109375" customWidth="1"/>
    <col min="12" max="12" width="15.7109375" bestFit="1" customWidth="1"/>
    <col min="13" max="13" width="11.28515625" bestFit="1" customWidth="1"/>
  </cols>
  <sheetData>
    <row r="3" spans="1:10" s="54" customFormat="1" ht="15.75" x14ac:dyDescent="0.25">
      <c r="A3" s="62">
        <v>1</v>
      </c>
      <c r="B3" s="63"/>
      <c r="C3" s="64"/>
      <c r="D3" s="65"/>
      <c r="E3" s="64" t="s">
        <v>119</v>
      </c>
      <c r="F3" s="66"/>
      <c r="G3" s="66"/>
      <c r="H3" s="67"/>
      <c r="I3" s="68"/>
      <c r="J3" s="69" t="e">
        <f>SUM(J4,J11,J16,J21)</f>
        <v>#REF!</v>
      </c>
    </row>
    <row r="4" spans="1:10" s="54" customFormat="1" ht="15.75" x14ac:dyDescent="0.25">
      <c r="A4" s="13" t="s">
        <v>8</v>
      </c>
      <c r="B4" s="27"/>
      <c r="C4" s="28"/>
      <c r="D4" s="52"/>
      <c r="E4" s="28" t="s">
        <v>128</v>
      </c>
      <c r="F4" s="29"/>
      <c r="G4" s="29"/>
      <c r="H4" s="19"/>
      <c r="I4" s="19"/>
      <c r="J4" s="18" t="e">
        <f>SUM(J5:J10)</f>
        <v>#REF!</v>
      </c>
    </row>
    <row r="5" spans="1:10" s="54" customFormat="1" ht="78.75" x14ac:dyDescent="0.25">
      <c r="A5" s="51" t="s">
        <v>13</v>
      </c>
      <c r="B5" s="59" t="s">
        <v>142</v>
      </c>
      <c r="C5" s="61" t="s">
        <v>143</v>
      </c>
      <c r="D5" s="53" t="s">
        <v>129</v>
      </c>
      <c r="E5" s="23" t="s">
        <v>155</v>
      </c>
      <c r="F5" s="21" t="s">
        <v>149</v>
      </c>
      <c r="G5" s="24">
        <v>1</v>
      </c>
      <c r="H5" s="30">
        <v>3800</v>
      </c>
      <c r="I5" s="49">
        <f>ROUND(H5*(1+Orçamento!$H$8),2)</f>
        <v>4544.8</v>
      </c>
      <c r="J5" s="50">
        <f t="shared" ref="J5:J10" si="0">ROUND(I5*G5,2)</f>
        <v>4544.8</v>
      </c>
    </row>
    <row r="6" spans="1:10" s="54" customFormat="1" ht="110.25" x14ac:dyDescent="0.25">
      <c r="A6" s="51" t="s">
        <v>14</v>
      </c>
      <c r="B6" s="21" t="s">
        <v>28</v>
      </c>
      <c r="C6" s="25" t="s">
        <v>89</v>
      </c>
      <c r="D6" s="53" t="s">
        <v>130</v>
      </c>
      <c r="E6" s="23" t="s">
        <v>144</v>
      </c>
      <c r="F6" s="21" t="e">
        <f>VLOOKUP(C6,#REF!,3,FALSE)</f>
        <v>#REF!</v>
      </c>
      <c r="G6" s="24">
        <v>1</v>
      </c>
      <c r="H6" s="30" t="e">
        <f>VLOOKUP(C6,#REF!,6,FALSE)</f>
        <v>#REF!</v>
      </c>
      <c r="I6" s="49" t="e">
        <f>ROUND(H6*(1+Orçamento!$H$8),2)</f>
        <v>#REF!</v>
      </c>
      <c r="J6" s="50" t="e">
        <f t="shared" si="0"/>
        <v>#REF!</v>
      </c>
    </row>
    <row r="7" spans="1:10" s="54" customFormat="1" ht="78.75" x14ac:dyDescent="0.25">
      <c r="A7" s="51" t="s">
        <v>22</v>
      </c>
      <c r="B7" s="21" t="s">
        <v>28</v>
      </c>
      <c r="C7" s="25" t="s">
        <v>90</v>
      </c>
      <c r="D7" s="53" t="s">
        <v>145</v>
      </c>
      <c r="E7" s="23" t="e">
        <f>VLOOKUP(C7,#REF!,2,FALSE)</f>
        <v>#REF!</v>
      </c>
      <c r="F7" s="21" t="e">
        <f>VLOOKUP(C7,#REF!,3,FALSE)</f>
        <v>#REF!</v>
      </c>
      <c r="G7" s="24">
        <v>1</v>
      </c>
      <c r="H7" s="30" t="e">
        <f>VLOOKUP(C7,#REF!,6,FALSE)</f>
        <v>#REF!</v>
      </c>
      <c r="I7" s="49" t="e">
        <f>ROUND(H7*(1+Orçamento!$H$8),2)</f>
        <v>#REF!</v>
      </c>
      <c r="J7" s="50" t="e">
        <f t="shared" si="0"/>
        <v>#REF!</v>
      </c>
    </row>
    <row r="8" spans="1:10" s="54" customFormat="1" ht="78.75" x14ac:dyDescent="0.25">
      <c r="A8" s="51" t="s">
        <v>158</v>
      </c>
      <c r="B8" s="21" t="s">
        <v>28</v>
      </c>
      <c r="C8" s="22" t="s">
        <v>90</v>
      </c>
      <c r="D8" s="53" t="s">
        <v>146</v>
      </c>
      <c r="E8" s="23" t="e">
        <f>VLOOKUP(C8,#REF!,2,FALSE)</f>
        <v>#REF!</v>
      </c>
      <c r="F8" s="21" t="e">
        <f>VLOOKUP(C8,#REF!,3,FALSE)</f>
        <v>#REF!</v>
      </c>
      <c r="G8" s="24">
        <v>4</v>
      </c>
      <c r="H8" s="30" t="e">
        <f>VLOOKUP(C8,#REF!,6,FALSE)</f>
        <v>#REF!</v>
      </c>
      <c r="I8" s="49" t="e">
        <f>ROUND(H8*(1+Orçamento!$H$8),2)</f>
        <v>#REF!</v>
      </c>
      <c r="J8" s="50" t="e">
        <f t="shared" si="0"/>
        <v>#REF!</v>
      </c>
    </row>
    <row r="9" spans="1:10" s="54" customFormat="1" ht="47.25" x14ac:dyDescent="0.25">
      <c r="A9" s="51" t="s">
        <v>23</v>
      </c>
      <c r="B9" s="21" t="s">
        <v>28</v>
      </c>
      <c r="C9" s="25" t="s">
        <v>91</v>
      </c>
      <c r="D9" s="53" t="s">
        <v>147</v>
      </c>
      <c r="E9" s="23" t="e">
        <f>VLOOKUP(C9,#REF!,2,FALSE)</f>
        <v>#REF!</v>
      </c>
      <c r="F9" s="21" t="e">
        <f>VLOOKUP(C9,#REF!,3,FALSE)</f>
        <v>#REF!</v>
      </c>
      <c r="G9" s="24">
        <v>1</v>
      </c>
      <c r="H9" s="30" t="e">
        <f>VLOOKUP(C9,#REF!,6,FALSE)</f>
        <v>#REF!</v>
      </c>
      <c r="I9" s="49" t="e">
        <f>ROUND(H9*(1+Orçamento!$H$8),2)</f>
        <v>#REF!</v>
      </c>
      <c r="J9" s="50" t="e">
        <f t="shared" si="0"/>
        <v>#REF!</v>
      </c>
    </row>
    <row r="10" spans="1:10" s="54" customFormat="1" ht="31.5" x14ac:dyDescent="0.25">
      <c r="A10" s="51" t="s">
        <v>159</v>
      </c>
      <c r="B10" s="21" t="s">
        <v>28</v>
      </c>
      <c r="C10" s="25" t="s">
        <v>96</v>
      </c>
      <c r="D10" s="53" t="s">
        <v>134</v>
      </c>
      <c r="E10" s="23" t="e">
        <f>VLOOKUP(C10,#REF!,2,FALSE)</f>
        <v>#REF!</v>
      </c>
      <c r="F10" s="21" t="e">
        <f>VLOOKUP(C10,#REF!,3,FALSE)</f>
        <v>#REF!</v>
      </c>
      <c r="G10" s="24">
        <v>2</v>
      </c>
      <c r="H10" s="30" t="e">
        <f>VLOOKUP(C10,#REF!,6,FALSE)</f>
        <v>#REF!</v>
      </c>
      <c r="I10" s="49" t="e">
        <f>ROUND(H10*(1+Orçamento!$H$8),2)</f>
        <v>#REF!</v>
      </c>
      <c r="J10" s="50" t="e">
        <f t="shared" si="0"/>
        <v>#REF!</v>
      </c>
    </row>
    <row r="11" spans="1:10" s="54" customFormat="1" ht="15.75" x14ac:dyDescent="0.25">
      <c r="A11" s="13" t="s">
        <v>151</v>
      </c>
      <c r="B11" s="14"/>
      <c r="C11" s="15"/>
      <c r="D11" s="52"/>
      <c r="E11" s="15" t="s">
        <v>131</v>
      </c>
      <c r="F11" s="16"/>
      <c r="G11" s="16"/>
      <c r="H11" s="17"/>
      <c r="I11" s="19"/>
      <c r="J11" s="18" t="e">
        <f>SUM(J12:J14)</f>
        <v>#REF!</v>
      </c>
    </row>
    <row r="12" spans="1:10" s="54" customFormat="1" ht="63" x14ac:dyDescent="0.25">
      <c r="A12" s="20" t="s">
        <v>152</v>
      </c>
      <c r="B12" s="21" t="s">
        <v>28</v>
      </c>
      <c r="C12" s="22" t="s">
        <v>101</v>
      </c>
      <c r="D12" s="53" t="s">
        <v>126</v>
      </c>
      <c r="E12" s="23" t="e">
        <f>VLOOKUP(C12,#REF!,2,FALSE)</f>
        <v>#REF!</v>
      </c>
      <c r="F12" s="21" t="e">
        <f>VLOOKUP(C12,#REF!,3,FALSE)</f>
        <v>#REF!</v>
      </c>
      <c r="G12" s="24">
        <v>5</v>
      </c>
      <c r="H12" s="30" t="e">
        <f>VLOOKUP(C12,#REF!,6,FALSE)</f>
        <v>#REF!</v>
      </c>
      <c r="I12" s="49" t="e">
        <f>ROUND(H12*(1+Orçamento!$H$8),2)</f>
        <v>#REF!</v>
      </c>
      <c r="J12" s="50" t="e">
        <f>ROUND(I12*G12,2)</f>
        <v>#REF!</v>
      </c>
    </row>
    <row r="13" spans="1:10" s="54" customFormat="1" ht="63" x14ac:dyDescent="0.25">
      <c r="A13" s="20" t="s">
        <v>153</v>
      </c>
      <c r="B13" s="21" t="s">
        <v>28</v>
      </c>
      <c r="C13" s="22" t="s">
        <v>95</v>
      </c>
      <c r="D13" s="53" t="s">
        <v>127</v>
      </c>
      <c r="E13" s="23" t="e">
        <f>VLOOKUP(C13,#REF!,2,FALSE)</f>
        <v>#REF!</v>
      </c>
      <c r="F13" s="21" t="e">
        <f>VLOOKUP(C13,#REF!,3,FALSE)</f>
        <v>#REF!</v>
      </c>
      <c r="G13" s="24">
        <v>20</v>
      </c>
      <c r="H13" s="30" t="e">
        <f>VLOOKUP(C13,#REF!,6,FALSE)</f>
        <v>#REF!</v>
      </c>
      <c r="I13" s="49" t="e">
        <f>ROUND(H13*(1+Orçamento!$H$8),2)</f>
        <v>#REF!</v>
      </c>
      <c r="J13" s="50" t="e">
        <f>ROUND(I13*G13,2)</f>
        <v>#REF!</v>
      </c>
    </row>
    <row r="14" spans="1:10" s="54" customFormat="1" ht="31.5" x14ac:dyDescent="0.25">
      <c r="A14" s="20" t="s">
        <v>154</v>
      </c>
      <c r="B14" s="21" t="s">
        <v>28</v>
      </c>
      <c r="C14" s="22" t="s">
        <v>100</v>
      </c>
      <c r="D14" s="53" t="s">
        <v>156</v>
      </c>
      <c r="E14" s="23" t="e">
        <f>VLOOKUP(C14,#REF!,2,FALSE)</f>
        <v>#REF!</v>
      </c>
      <c r="F14" s="21" t="e">
        <f>VLOOKUP(C14,#REF!,3,FALSE)</f>
        <v>#REF!</v>
      </c>
      <c r="G14" s="24">
        <f>G12</f>
        <v>5</v>
      </c>
      <c r="H14" s="30" t="e">
        <f>VLOOKUP(C14,#REF!,6,FALSE)</f>
        <v>#REF!</v>
      </c>
      <c r="I14" s="49" t="e">
        <f>ROUND(H14*(1+Orçamento!$H$8),2)</f>
        <v>#REF!</v>
      </c>
      <c r="J14" s="50" t="e">
        <f>ROUND(I14*G14,2)</f>
        <v>#REF!</v>
      </c>
    </row>
    <row r="15" spans="1:10" s="54" customFormat="1" ht="31.5" x14ac:dyDescent="0.25">
      <c r="A15" s="20" t="s">
        <v>160</v>
      </c>
      <c r="B15" s="21" t="s">
        <v>28</v>
      </c>
      <c r="C15" s="22" t="s">
        <v>92</v>
      </c>
      <c r="D15" s="53" t="s">
        <v>122</v>
      </c>
      <c r="E15" s="23" t="e">
        <f>VLOOKUP(C15,#REF!,2,FALSE)</f>
        <v>#REF!</v>
      </c>
      <c r="F15" s="21" t="e">
        <f>VLOOKUP(C15,#REF!,3,FALSE)</f>
        <v>#REF!</v>
      </c>
      <c r="G15" s="24">
        <v>8</v>
      </c>
      <c r="H15" s="30" t="e">
        <f>VLOOKUP(C15,#REF!,6,FALSE)</f>
        <v>#REF!</v>
      </c>
      <c r="I15" s="49" t="e">
        <f>ROUND(H15*(1+Orçamento!$H$8),2)</f>
        <v>#REF!</v>
      </c>
      <c r="J15" s="50" t="e">
        <f>ROUND(I15*G15,2)</f>
        <v>#REF!</v>
      </c>
    </row>
    <row r="16" spans="1:10" s="54" customFormat="1" ht="15.75" x14ac:dyDescent="0.25">
      <c r="A16" s="13" t="s">
        <v>161</v>
      </c>
      <c r="B16" s="14"/>
      <c r="C16" s="15"/>
      <c r="D16" s="52"/>
      <c r="E16" s="15" t="s">
        <v>29</v>
      </c>
      <c r="F16" s="16"/>
      <c r="G16" s="16"/>
      <c r="H16" s="17"/>
      <c r="I16" s="19"/>
      <c r="J16" s="18" t="e">
        <f>SUM(J17:J20)</f>
        <v>#REF!</v>
      </c>
    </row>
    <row r="17" spans="1:12" s="54" customFormat="1" ht="47.25" x14ac:dyDescent="0.25">
      <c r="A17" s="20" t="s">
        <v>162</v>
      </c>
      <c r="B17" s="21" t="s">
        <v>28</v>
      </c>
      <c r="C17" s="22" t="s">
        <v>50</v>
      </c>
      <c r="D17" s="53" t="s">
        <v>121</v>
      </c>
      <c r="E17" s="23" t="e">
        <f>VLOOKUP(C17,#REF!,2,FALSE)</f>
        <v>#REF!</v>
      </c>
      <c r="F17" s="21" t="e">
        <f>VLOOKUP(C17,#REF!,3,FALSE)</f>
        <v>#REF!</v>
      </c>
      <c r="G17" s="24">
        <f>G18*0.2*0.3</f>
        <v>9.3480000000000008</v>
      </c>
      <c r="H17" s="30" t="e">
        <f>VLOOKUP(C17,#REF!,6,FALSE)</f>
        <v>#REF!</v>
      </c>
      <c r="I17" s="49" t="e">
        <f>ROUND(H17*(1+Orçamento!$H$8),2)</f>
        <v>#REF!</v>
      </c>
      <c r="J17" s="50" t="e">
        <f>ROUND(I17*G17,2)</f>
        <v>#REF!</v>
      </c>
    </row>
    <row r="18" spans="1:12" s="54" customFormat="1" ht="31.5" x14ac:dyDescent="0.25">
      <c r="A18" s="20" t="s">
        <v>163</v>
      </c>
      <c r="B18" s="21" t="s">
        <v>28</v>
      </c>
      <c r="C18" s="22" t="s">
        <v>93</v>
      </c>
      <c r="D18" s="53" t="s">
        <v>122</v>
      </c>
      <c r="E18" s="23" t="e">
        <f>VLOOKUP(C18,#REF!,2,FALSE)</f>
        <v>#REF!</v>
      </c>
      <c r="F18" s="21" t="e">
        <f>VLOOKUP(C18,#REF!,3,FALSE)</f>
        <v>#REF!</v>
      </c>
      <c r="G18" s="24">
        <f>65.4+90.4</f>
        <v>155.80000000000001</v>
      </c>
      <c r="H18" s="30" t="e">
        <f>VLOOKUP(C18,#REF!,6,FALSE)</f>
        <v>#REF!</v>
      </c>
      <c r="I18" s="49" t="e">
        <f>ROUND(H18*(1+Orçamento!$H$8),2)</f>
        <v>#REF!</v>
      </c>
      <c r="J18" s="50" t="e">
        <f>ROUND(I18*G18,2)</f>
        <v>#REF!</v>
      </c>
    </row>
    <row r="19" spans="1:12" s="54" customFormat="1" ht="63" x14ac:dyDescent="0.25">
      <c r="A19" s="20" t="s">
        <v>164</v>
      </c>
      <c r="B19" s="59" t="s">
        <v>30</v>
      </c>
      <c r="C19" s="60">
        <v>97891</v>
      </c>
      <c r="D19" s="53" t="s">
        <v>123</v>
      </c>
      <c r="E19" s="23" t="s">
        <v>150</v>
      </c>
      <c r="F19" s="21" t="s">
        <v>32</v>
      </c>
      <c r="G19" s="24">
        <v>18</v>
      </c>
      <c r="H19" s="30">
        <v>235.08</v>
      </c>
      <c r="I19" s="49">
        <f>ROUND(H19*(1+Orçamento!$H$8),2)</f>
        <v>281.16000000000003</v>
      </c>
      <c r="J19" s="50">
        <f>ROUND(I19*G19,2)</f>
        <v>5060.88</v>
      </c>
    </row>
    <row r="20" spans="1:12" s="54" customFormat="1" ht="15.75" x14ac:dyDescent="0.25">
      <c r="A20" s="20" t="s">
        <v>165</v>
      </c>
      <c r="B20" s="21" t="s">
        <v>28</v>
      </c>
      <c r="C20" s="25" t="s">
        <v>53</v>
      </c>
      <c r="D20" s="53" t="s">
        <v>141</v>
      </c>
      <c r="E20" s="23" t="e">
        <f>VLOOKUP(C20,#REF!,2,FALSE)</f>
        <v>#REF!</v>
      </c>
      <c r="F20" s="21" t="e">
        <f>VLOOKUP(C20,#REF!,3,FALSE)</f>
        <v>#REF!</v>
      </c>
      <c r="G20" s="24">
        <f>(3.14159265359*(0.25/2)^2)*2*17</f>
        <v>1.6689710972196876</v>
      </c>
      <c r="H20" s="30" t="e">
        <f>VLOOKUP(C20,#REF!,6,FALSE)</f>
        <v>#REF!</v>
      </c>
      <c r="I20" s="49" t="e">
        <f>ROUND(H20*(1+Orçamento!$H$8),2)</f>
        <v>#REF!</v>
      </c>
      <c r="J20" s="50" t="e">
        <f>ROUND(I20*G20,2)</f>
        <v>#REF!</v>
      </c>
      <c r="L20" s="54" t="s">
        <v>157</v>
      </c>
    </row>
    <row r="21" spans="1:12" s="54" customFormat="1" ht="15.75" x14ac:dyDescent="0.25">
      <c r="A21" s="13" t="s">
        <v>166</v>
      </c>
      <c r="B21" s="14"/>
      <c r="C21" s="15"/>
      <c r="D21" s="52"/>
      <c r="E21" s="15" t="s">
        <v>120</v>
      </c>
      <c r="F21" s="16"/>
      <c r="G21" s="16"/>
      <c r="H21" s="17"/>
      <c r="I21" s="19"/>
      <c r="J21" s="18" t="e">
        <f>SUM(J23:J27)</f>
        <v>#REF!</v>
      </c>
    </row>
    <row r="22" spans="1:12" s="54" customFormat="1" ht="31.5" x14ac:dyDescent="0.25">
      <c r="A22" s="20" t="s">
        <v>167</v>
      </c>
      <c r="B22" s="21" t="s">
        <v>28</v>
      </c>
      <c r="C22" s="22" t="s">
        <v>92</v>
      </c>
      <c r="D22" s="53" t="s">
        <v>122</v>
      </c>
      <c r="E22" s="23" t="e">
        <f>VLOOKUP(C22,#REF!,2,FALSE)</f>
        <v>#REF!</v>
      </c>
      <c r="F22" s="21" t="e">
        <f>VLOOKUP(C22,#REF!,3,FALSE)</f>
        <v>#REF!</v>
      </c>
      <c r="G22" s="24">
        <v>8</v>
      </c>
      <c r="H22" s="30" t="e">
        <f>VLOOKUP(C22,#REF!,6,FALSE)</f>
        <v>#REF!</v>
      </c>
      <c r="I22" s="49" t="e">
        <f>ROUND(H22*(1+Orçamento!$H$8),2)</f>
        <v>#REF!</v>
      </c>
      <c r="J22" s="50" t="e">
        <f t="shared" ref="J22:J27" si="1">ROUND(I22*G22,2)</f>
        <v>#REF!</v>
      </c>
    </row>
    <row r="23" spans="1:12" s="54" customFormat="1" ht="31.5" x14ac:dyDescent="0.25">
      <c r="A23" s="20" t="s">
        <v>168</v>
      </c>
      <c r="B23" s="21" t="s">
        <v>28</v>
      </c>
      <c r="C23" s="22" t="s">
        <v>97</v>
      </c>
      <c r="D23" s="53" t="s">
        <v>132</v>
      </c>
      <c r="E23" s="23" t="e">
        <f>VLOOKUP(C23,#REF!,2,FALSE)</f>
        <v>#REF!</v>
      </c>
      <c r="F23" s="21" t="e">
        <f>VLOOKUP(C23,#REF!,3,FALSE)</f>
        <v>#REF!</v>
      </c>
      <c r="G23" s="24">
        <v>17</v>
      </c>
      <c r="H23" s="30" t="e">
        <f>VLOOKUP(C23,#REF!,6,FALSE)</f>
        <v>#REF!</v>
      </c>
      <c r="I23" s="49" t="e">
        <f>ROUND(H23*(1+Orçamento!$H$8),2)</f>
        <v>#REF!</v>
      </c>
      <c r="J23" s="50" t="e">
        <f t="shared" si="1"/>
        <v>#REF!</v>
      </c>
    </row>
    <row r="24" spans="1:12" s="54" customFormat="1" ht="31.5" x14ac:dyDescent="0.25">
      <c r="A24" s="20" t="s">
        <v>169</v>
      </c>
      <c r="B24" s="21" t="s">
        <v>28</v>
      </c>
      <c r="C24" s="22" t="s">
        <v>98</v>
      </c>
      <c r="D24" s="53" t="s">
        <v>148</v>
      </c>
      <c r="E24" s="23" t="e">
        <f>VLOOKUP(C24,#REF!,2,FALSE)</f>
        <v>#REF!</v>
      </c>
      <c r="F24" s="21" t="e">
        <f>VLOOKUP(C24,#REF!,3,FALSE)</f>
        <v>#REF!</v>
      </c>
      <c r="G24" s="24">
        <f>G23</f>
        <v>17</v>
      </c>
      <c r="H24" s="30" t="e">
        <f>VLOOKUP(C24,#REF!,6,FALSE)</f>
        <v>#REF!</v>
      </c>
      <c r="I24" s="49" t="e">
        <f>ROUND(H24*(1+Orçamento!$H$8),2)</f>
        <v>#REF!</v>
      </c>
      <c r="J24" s="50" t="e">
        <f t="shared" si="1"/>
        <v>#REF!</v>
      </c>
    </row>
    <row r="25" spans="1:12" s="54" customFormat="1" ht="63" x14ac:dyDescent="0.25">
      <c r="A25" s="20" t="s">
        <v>170</v>
      </c>
      <c r="B25" s="21" t="s">
        <v>28</v>
      </c>
      <c r="C25" s="22" t="s">
        <v>99</v>
      </c>
      <c r="D25" s="53" t="s">
        <v>133</v>
      </c>
      <c r="E25" s="23" t="e">
        <f>VLOOKUP(C25,#REF!,2,FALSE)</f>
        <v>#REF!</v>
      </c>
      <c r="F25" s="21" t="e">
        <f>VLOOKUP(C25,#REF!,3,FALSE)</f>
        <v>#REF!</v>
      </c>
      <c r="G25" s="24">
        <f>G23*2</f>
        <v>34</v>
      </c>
      <c r="H25" s="30" t="e">
        <f>VLOOKUP(C25,#REF!,6,FALSE)</f>
        <v>#REF!</v>
      </c>
      <c r="I25" s="49" t="e">
        <f>ROUND(H25*(1+Orçamento!$H$8),2)</f>
        <v>#REF!</v>
      </c>
      <c r="J25" s="50" t="e">
        <f t="shared" si="1"/>
        <v>#REF!</v>
      </c>
    </row>
    <row r="26" spans="1:12" s="54" customFormat="1" ht="47.25" x14ac:dyDescent="0.25">
      <c r="A26" s="20" t="s">
        <v>171</v>
      </c>
      <c r="B26" s="21" t="s">
        <v>28</v>
      </c>
      <c r="C26" s="22" t="s">
        <v>94</v>
      </c>
      <c r="D26" s="53" t="s">
        <v>124</v>
      </c>
      <c r="E26" s="23" t="e">
        <f>VLOOKUP(C26,#REF!,2,FALSE)</f>
        <v>#REF!</v>
      </c>
      <c r="F26" s="21" t="e">
        <f>VLOOKUP(C26,#REF!,3,FALSE)</f>
        <v>#REF!</v>
      </c>
      <c r="G26" s="24">
        <f>G27*2</f>
        <v>491.6</v>
      </c>
      <c r="H26" s="30" t="e">
        <f>VLOOKUP(C26,#REF!,6,FALSE)</f>
        <v>#REF!</v>
      </c>
      <c r="I26" s="49" t="e">
        <f>ROUND(H26*(1+Orçamento!$H$8),2)</f>
        <v>#REF!</v>
      </c>
      <c r="J26" s="50" t="e">
        <f t="shared" si="1"/>
        <v>#REF!</v>
      </c>
    </row>
    <row r="27" spans="1:12" s="54" customFormat="1" ht="47.25" x14ac:dyDescent="0.25">
      <c r="A27" s="20" t="s">
        <v>172</v>
      </c>
      <c r="B27" s="21" t="s">
        <v>28</v>
      </c>
      <c r="C27" s="22" t="s">
        <v>94</v>
      </c>
      <c r="D27" s="53" t="s">
        <v>125</v>
      </c>
      <c r="E27" s="23" t="e">
        <f>VLOOKUP(C27,#REF!,2,FALSE)</f>
        <v>#REF!</v>
      </c>
      <c r="F27" s="21" t="e">
        <f>VLOOKUP(C27,#REF!,3,FALSE)</f>
        <v>#REF!</v>
      </c>
      <c r="G27" s="24">
        <f>(G18+17*5+5)</f>
        <v>245.8</v>
      </c>
      <c r="H27" s="30" t="e">
        <f>VLOOKUP(C27,#REF!,6,FALSE)</f>
        <v>#REF!</v>
      </c>
      <c r="I27" s="49" t="e">
        <f>ROUND(H27*(1+Orçamento!$H$8),2)</f>
        <v>#REF!</v>
      </c>
      <c r="J27" s="50" t="e">
        <f t="shared" si="1"/>
        <v>#REF!</v>
      </c>
    </row>
    <row r="30" spans="1:12" s="54" customFormat="1" ht="15.75" x14ac:dyDescent="0.25">
      <c r="D30" s="55"/>
      <c r="I30" s="56"/>
      <c r="J30" s="56"/>
    </row>
    <row r="31" spans="1:12" s="54" customFormat="1" ht="15.75" x14ac:dyDescent="0.25">
      <c r="D31" s="55"/>
      <c r="I31" s="56"/>
      <c r="J31" s="56"/>
    </row>
    <row r="32" spans="1:12" s="54" customFormat="1" ht="15.75" x14ac:dyDescent="0.25">
      <c r="D32" s="55"/>
      <c r="I32" s="56"/>
      <c r="J32" s="56"/>
    </row>
    <row r="33" spans="4:10" s="54" customFormat="1" ht="15.75" x14ac:dyDescent="0.25">
      <c r="D33" s="55"/>
      <c r="I33" s="56"/>
      <c r="J33" s="56"/>
    </row>
    <row r="34" spans="4:10" s="54" customFormat="1" ht="15.75" x14ac:dyDescent="0.25">
      <c r="D34" s="55"/>
      <c r="I34" s="56"/>
      <c r="J34" s="56"/>
    </row>
    <row r="35" spans="4:10" s="54" customFormat="1" ht="15.75" x14ac:dyDescent="0.25">
      <c r="D35" s="55"/>
      <c r="I35" s="56"/>
      <c r="J35" s="56"/>
    </row>
    <row r="36" spans="4:10" s="54" customFormat="1" ht="15.75" x14ac:dyDescent="0.25">
      <c r="D36" s="55"/>
      <c r="I36" s="56"/>
      <c r="J36" s="56"/>
    </row>
    <row r="37" spans="4:10" s="54" customFormat="1" ht="15.75" x14ac:dyDescent="0.25">
      <c r="D37" s="55"/>
      <c r="I37" s="56"/>
      <c r="J37" s="56"/>
    </row>
    <row r="38" spans="4:10" s="54" customFormat="1" ht="15.75" x14ac:dyDescent="0.25">
      <c r="D38" s="55"/>
      <c r="I38" s="56"/>
      <c r="J38" s="56"/>
    </row>
    <row r="39" spans="4:10" s="54" customFormat="1" ht="15.75" x14ac:dyDescent="0.25">
      <c r="D39" s="55"/>
      <c r="I39" s="56"/>
      <c r="J39" s="56"/>
    </row>
    <row r="40" spans="4:10" s="54" customFormat="1" ht="15.75" x14ac:dyDescent="0.25">
      <c r="D40" s="55"/>
      <c r="I40" s="56"/>
      <c r="J40" s="56"/>
    </row>
    <row r="41" spans="4:10" s="54" customFormat="1" ht="15.75" x14ac:dyDescent="0.25">
      <c r="D41" s="55"/>
      <c r="I41" s="56"/>
      <c r="J41" s="56"/>
    </row>
    <row r="42" spans="4:10" s="54" customFormat="1" ht="15.75" x14ac:dyDescent="0.25">
      <c r="D42" s="55"/>
      <c r="I42" s="56"/>
      <c r="J42" s="56"/>
    </row>
    <row r="43" spans="4:10" s="54" customFormat="1" ht="15.75" x14ac:dyDescent="0.25">
      <c r="D43" s="55"/>
      <c r="I43" s="56"/>
      <c r="J43" s="56"/>
    </row>
    <row r="44" spans="4:10" s="54" customFormat="1" ht="15.75" x14ac:dyDescent="0.25">
      <c r="D44" s="55"/>
      <c r="I44" s="56"/>
      <c r="J44" s="56"/>
    </row>
    <row r="45" spans="4:10" s="54" customFormat="1" ht="15.75" x14ac:dyDescent="0.25">
      <c r="D45" s="55"/>
      <c r="I45" s="56"/>
      <c r="J45" s="56"/>
    </row>
    <row r="46" spans="4:10" s="54" customFormat="1" ht="15.75" x14ac:dyDescent="0.25">
      <c r="D46" s="55"/>
      <c r="I46" s="56"/>
      <c r="J46" s="56"/>
    </row>
    <row r="47" spans="4:10" s="54" customFormat="1" ht="15.75" x14ac:dyDescent="0.25">
      <c r="D47" s="55"/>
      <c r="I47" s="56"/>
      <c r="J47" s="56"/>
    </row>
    <row r="48" spans="4:10" s="54" customFormat="1" ht="15.75" x14ac:dyDescent="0.25">
      <c r="D48" s="55"/>
      <c r="I48" s="56"/>
      <c r="J48" s="56"/>
    </row>
    <row r="49" spans="4:10" s="54" customFormat="1" ht="15.75" x14ac:dyDescent="0.25">
      <c r="D49" s="55"/>
      <c r="I49" s="56"/>
      <c r="J49" s="56"/>
    </row>
    <row r="50" spans="4:10" s="54" customFormat="1" ht="15.75" x14ac:dyDescent="0.25">
      <c r="D50" s="55"/>
      <c r="I50" s="56"/>
      <c r="J50" s="56"/>
    </row>
    <row r="51" spans="4:10" s="54" customFormat="1" ht="15.75" x14ac:dyDescent="0.25">
      <c r="D51" s="55"/>
      <c r="I51" s="56"/>
      <c r="J51" s="56"/>
    </row>
    <row r="52" spans="4:10" s="54" customFormat="1" ht="15.75" x14ac:dyDescent="0.25">
      <c r="D52" s="55"/>
      <c r="I52" s="56"/>
      <c r="J52" s="56"/>
    </row>
    <row r="53" spans="4:10" s="54" customFormat="1" ht="15.75" x14ac:dyDescent="0.25">
      <c r="D53" s="55"/>
      <c r="I53" s="56"/>
      <c r="J53" s="56"/>
    </row>
    <row r="54" spans="4:10" s="54" customFormat="1" ht="15.75" x14ac:dyDescent="0.25">
      <c r="D54" s="55"/>
      <c r="I54" s="56"/>
      <c r="J54" s="56"/>
    </row>
  </sheetData>
  <conditionalFormatting sqref="G5:G10">
    <cfRule type="containsBlanks" dxfId="1" priority="2">
      <formula>LEN(TRIM(G5))=0</formula>
    </cfRule>
  </conditionalFormatting>
  <conditionalFormatting sqref="G12:G15 G17:G20 G22:G27">
    <cfRule type="containsBlanks" dxfId="0" priority="1">
      <formula>LEN(TRIM(G12))=0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Orçamento</vt:lpstr>
      <vt:lpstr>Cronograma</vt:lpstr>
      <vt:lpstr>CRONOGRAMA SGRI-SP</vt:lpstr>
      <vt:lpstr>Orçamentos</vt:lpstr>
      <vt:lpstr>ELÉTRICA</vt:lpstr>
      <vt:lpstr>Cronograma!Area_de_impressao</vt:lpstr>
      <vt:lpstr>'CRONOGRAMA SGRI-SP'!Area_de_impressao</vt:lpstr>
      <vt:lpstr>Orçamento!Area_de_impressao</vt:lpstr>
      <vt:lpstr>Orçamentos!Area_de_impressao_Composicoes</vt:lpstr>
      <vt:lpstr>Orçamento!Area_de_impressao_Medicao</vt:lpstr>
      <vt:lpstr>Orçamento!Area_de_impressao_Orcamento</vt:lpstr>
      <vt:lpstr>Orçamento!Print_Titles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Ademilson Ramos</dc:creator>
  <cp:lastModifiedBy>Win</cp:lastModifiedBy>
  <cp:lastPrinted>2025-11-27T13:33:23Z</cp:lastPrinted>
  <dcterms:created xsi:type="dcterms:W3CDTF">2022-02-23T12:24:33Z</dcterms:created>
  <dcterms:modified xsi:type="dcterms:W3CDTF">2025-11-27T13:34:20Z</dcterms:modified>
</cp:coreProperties>
</file>